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\RS2021\Rikstotal\20220831\"/>
    </mc:Choice>
  </mc:AlternateContent>
  <xr:revisionPtr revIDLastSave="0" documentId="13_ncr:1_{D12C4493-8CFC-49E0-B66E-F8CD94A8CCB8}" xr6:coauthVersionLast="47" xr6:coauthVersionMax="47" xr10:uidLastSave="{00000000-0000-0000-0000-000000000000}"/>
  <workbookProtection workbookAlgorithmName="SHA-512" workbookHashValue="lasqhGmNULOxaP5eJc30UKnpGVJdtsDELpRPrvKTaJMVYmawMR3L4VfSIg3tZnc9XUBCfI1ki3Eh2u7AsDhfvw==" workbookSaltValue="WLCFaYGeVvEFYNQTjttZXA==" workbookSpinCount="100000" lockStructure="1"/>
  <bookViews>
    <workbookView xWindow="-120" yWindow="-120" windowWidth="29040" windowHeight="15840" tabRatio="806" xr2:uid="{00000000-000D-0000-FFFF-FFFF00000000}"/>
  </bookViews>
  <sheets>
    <sheet name="Information" sheetId="2" r:id="rId1"/>
    <sheet name="RR" sheetId="17" r:id="rId2"/>
    <sheet name="BR" sheetId="4" r:id="rId3"/>
    <sheet name="Verks int o kostn" sheetId="19" r:id="rId4"/>
    <sheet name="Skatter, bidrag o fin poster" sheetId="20" r:id="rId5"/>
    <sheet name="Investeringar" sheetId="7" r:id="rId6"/>
    <sheet name="Drift" sheetId="8" r:id="rId7"/>
    <sheet name="Motpart" sheetId="9" r:id="rId8"/>
    <sheet name="Pedagogisk verksamhet" sheetId="10" r:id="rId9"/>
    <sheet name="Äldre o personer funktionsn" sheetId="11" r:id="rId10"/>
    <sheet name="IFO" sheetId="12" r:id="rId11"/>
  </sheets>
  <definedNames>
    <definedName name="_GoBack" localSheetId="4">'Skatter, bidrag o fin poster'!$C$9</definedName>
    <definedName name="_HSL1">#REF!</definedName>
    <definedName name="_HSL2">#REF!</definedName>
    <definedName name="Affärsverksamhet">Drift!$Z$91</definedName>
    <definedName name="Balanskravsutredningen">RR!$G$30</definedName>
    <definedName name="Barn_o_ungdomsvård">IFO!$P$22</definedName>
    <definedName name="Barnomsorg">Drift!$Z$44</definedName>
    <definedName name="Bidrag_o_transfer.">Motpart!$N$47</definedName>
    <definedName name="Block_1">Drift!$Z$11</definedName>
    <definedName name="Block_2">Drift!$Z$18</definedName>
    <definedName name="Block_3">Drift!$Z$31</definedName>
    <definedName name="Block_6">Drift!$Z$86</definedName>
    <definedName name="BR">BR!$A$88</definedName>
    <definedName name="Datum">"2015-10-16"</definedName>
    <definedName name="Datumföre">"2016-10-17"</definedName>
    <definedName name="Drift">Drift!$A$117</definedName>
    <definedName name="EKchef">Information!$B$16</definedName>
    <definedName name="Ekcheftel">Information!$C$16</definedName>
    <definedName name="Epost1RS">Information!$D$14</definedName>
    <definedName name="Epost2RS">Information!$D$15</definedName>
    <definedName name="Epostaldre">Information!$D$31</definedName>
    <definedName name="EpostAO">Information!$D$32</definedName>
    <definedName name="EpostEkchef">Information!$D$16</definedName>
    <definedName name="Epostforskola">Information!$D$22</definedName>
    <definedName name="Epostgrund">Information!$D$23</definedName>
    <definedName name="Epostgymn">Information!$D$24</definedName>
    <definedName name="Eposthandik">Information!$D$33</definedName>
    <definedName name="Epostifo">Information!$D$34</definedName>
    <definedName name="EpostPV">Information!$D$21</definedName>
    <definedName name="epostpvchef">Information!$D$26</definedName>
    <definedName name="epostvochef">Information!$D$35</definedName>
    <definedName name="Epostvux">Information!$D$25</definedName>
    <definedName name="Extraordinära_RR">RR!$G$17</definedName>
    <definedName name="Familjerätt">IFO!$P$33</definedName>
    <definedName name="Fritidshem">'Pedagogisk verksamhet'!$R$17</definedName>
    <definedName name="Funktionsnedsättning">'Äldre o personer funktionsn'!$T$22</definedName>
    <definedName name="Förskola">'Pedagogisk verksamhet'!$R$9</definedName>
    <definedName name="Förskoleklass">'Pedagogisk verksamhet'!$R$25</definedName>
    <definedName name="Förändring_anläggningstillgångar">Investeringar!$I$16</definedName>
    <definedName name="Grundskola">'Pedagogisk verksamhet'!$R$32</definedName>
    <definedName name="Grundsärskola">'Pedagogisk verksamhet'!$R$45</definedName>
    <definedName name="Grundvux">'Pedagogisk verksamhet'!$R$87</definedName>
    <definedName name="Gymnasieskola">'Pedagogisk verksamhet'!$R$59</definedName>
    <definedName name="Gymnasiesärskola">'Pedagogisk verksamhet'!$R$73</definedName>
    <definedName name="Gymnvux">'Pedagogisk verksamhet'!$R$96</definedName>
    <definedName name="inv19_64">1</definedName>
    <definedName name="inv7_15">Information!$B$5</definedName>
    <definedName name="invanare">Information!$B$4</definedName>
    <definedName name="Investeringar">Investeringar!$G$68</definedName>
    <definedName name="Invånare">Information!$B$4</definedName>
    <definedName name="Jämförelsestörande_RR">RR!$G$23</definedName>
    <definedName name="Kontaktpers1RS">Information!$B$14</definedName>
    <definedName name="Kontaktpers2RS">Information!$B$15</definedName>
    <definedName name="Kontaktpersaldre">Information!$B$32</definedName>
    <definedName name="KontaktpersAO">Information!$B$31</definedName>
    <definedName name="Kontaktpersforskola">Information!$B$22</definedName>
    <definedName name="Kontaktpersgrund">Information!$B$23</definedName>
    <definedName name="Kontaktpersgymn">Information!$B$24</definedName>
    <definedName name="Kontaktpershandik">Information!$B$33</definedName>
    <definedName name="Kontaktpersifo">Information!$B$34</definedName>
    <definedName name="KontaktpersPV">Information!$B$21</definedName>
    <definedName name="Kontaktpersvux">Information!$B$25</definedName>
    <definedName name="Kontakttel1RS">Information!$C$14</definedName>
    <definedName name="Kontakttel2RS">Information!$C$15</definedName>
    <definedName name="Kontakttelaldre">Information!$C$32</definedName>
    <definedName name="KontakttelAO">Information!$C$31</definedName>
    <definedName name="Kontakttelforskola">Information!$C$22</definedName>
    <definedName name="Kontakttelgrund">Information!$C$23</definedName>
    <definedName name="Kontakttelgymn">Information!$C$24</definedName>
    <definedName name="Kontakttelhandik">Information!$C$33</definedName>
    <definedName name="Kontakttelifo">Information!$C$34</definedName>
    <definedName name="Kontakttelpv">Information!$C$21</definedName>
    <definedName name="Kontakttelpvchef">Information!$C$26</definedName>
    <definedName name="Kontakttelvux">Information!$C$25</definedName>
    <definedName name="Kontakttevochef">Information!$C$35</definedName>
    <definedName name="Kontrollblad_1">#REF!</definedName>
    <definedName name="Kontrollblad_10">#REF!</definedName>
    <definedName name="Kontrollblad_11">#REF!</definedName>
    <definedName name="Kontrollblad_12">#REF!</definedName>
    <definedName name="Kontrollblad_13">#REF!</definedName>
    <definedName name="Kontrollblad_14">#REF!</definedName>
    <definedName name="Kontrollblad_15">#REF!</definedName>
    <definedName name="Kontrollblad_16">#REF!</definedName>
    <definedName name="Kontrollblad_17">#REF!</definedName>
    <definedName name="Kontrollblad_18">#REF!</definedName>
    <definedName name="Kontrollblad_19">#REF!</definedName>
    <definedName name="Kontrollblad_2">#REF!</definedName>
    <definedName name="Kontrollblad_3">#REF!</definedName>
    <definedName name="Kontrollblad_4">#REF!</definedName>
    <definedName name="Kontrollblad_5">#REF!</definedName>
    <definedName name="Kontrollblad_6">#REF!</definedName>
    <definedName name="Kontrollblad_7">#REF!</definedName>
    <definedName name="Kontrollblad_8">#REF!</definedName>
    <definedName name="Kontrollblad_9">#REF!</definedName>
    <definedName name="Köp_huvudvht">Motpart!$C$47</definedName>
    <definedName name="LSS">'Äldre o personer funktionsn'!$T$32</definedName>
    <definedName name="Pvchef">Information!$B$26</definedName>
    <definedName name="Skatter_bidrag_finpost">'Skatter, bidrag o fin poster'!$H$35</definedName>
    <definedName name="solver_cvg" localSheetId="5" hidden="1">0.0001</definedName>
    <definedName name="solver_drv" localSheetId="5" hidden="1">1</definedName>
    <definedName name="solver_est" localSheetId="5" hidden="1">1</definedName>
    <definedName name="solver_itr" localSheetId="5" hidden="1">100</definedName>
    <definedName name="solver_lin" localSheetId="5" hidden="1">2</definedName>
    <definedName name="solver_neg" localSheetId="5" hidden="1">2</definedName>
    <definedName name="solver_num" localSheetId="5" hidden="1">0</definedName>
    <definedName name="solver_nwt" localSheetId="5" hidden="1">1</definedName>
    <definedName name="solver_opt" localSheetId="5" hidden="1">Investeringar!$D$22</definedName>
    <definedName name="solver_pre" localSheetId="5" hidden="1">0.000001</definedName>
    <definedName name="solver_scl" localSheetId="5" hidden="1">2</definedName>
    <definedName name="solver_sho" localSheetId="5" hidden="1">2</definedName>
    <definedName name="solver_tim" localSheetId="5" hidden="1">100</definedName>
    <definedName name="solver_tol" localSheetId="5" hidden="1">0.05</definedName>
    <definedName name="solver_typ" localSheetId="5" hidden="1">1</definedName>
    <definedName name="solver_val" localSheetId="5" hidden="1">0</definedName>
    <definedName name="Spec_intäkter">Motpart!$Y$47</definedName>
    <definedName name="Spec_VoO">'Äldre o personer funktionsn'!$R$46</definedName>
    <definedName name="Tillägg_1_Invest">Investeringar!$G$81</definedName>
    <definedName name="Tillägg_2_Invest">Investeringar!$G$97</definedName>
    <definedName name="Utbildning">Drift!$Z$52</definedName>
    <definedName name="_xlnm.Print_Area" localSheetId="6">Drift!$A$1:$AH$126</definedName>
    <definedName name="_xlnm.Print_Area" localSheetId="0">Information!$A$1:$E$50</definedName>
    <definedName name="_xlnm.Print_Area" localSheetId="5">Investeringar!$A$1:$M$104</definedName>
    <definedName name="_xlnm.Print_Area" localSheetId="7">Motpart!$A$1:$AD$51</definedName>
    <definedName name="_xlnm.Print_Area" localSheetId="1">RR!$A$1:$K$56</definedName>
    <definedName name="_xlnm.Print_Area" localSheetId="9">'Äldre o personer funktionsn'!$A$1:$U$59</definedName>
    <definedName name="_xlnm.Print_Titles" localSheetId="6">Drift!$A:$B,Drift!$1:$10</definedName>
    <definedName name="_xlnm.Print_Titles" localSheetId="7">Motpart!$A:$B,Motpart!$1:$8</definedName>
    <definedName name="Vht_int">'Verks int o kostn'!$F$34</definedName>
    <definedName name="Vht_kostn">'Verks int o kostn'!$F$77</definedName>
    <definedName name="VOchef">Information!$B$35</definedName>
    <definedName name="Vuxna_missb.">IFO!$P$13</definedName>
    <definedName name="Z_27C9E95B_0E2B_454F_B637_1CECC9579A10_.wvu.Cols" localSheetId="6" hidden="1">Drift!$AG:$IV</definedName>
    <definedName name="Z_27C9E95B_0E2B_454F_B637_1CECC9579A10_.wvu.Cols" localSheetId="10" hidden="1">IFO!#REF!</definedName>
    <definedName name="Z_27C9E95B_0E2B_454F_B637_1CECC9579A10_.wvu.Cols" localSheetId="0" hidden="1">Information!$F:$IV</definedName>
    <definedName name="Z_27C9E95B_0E2B_454F_B637_1CECC9579A10_.wvu.Cols" localSheetId="5" hidden="1">Investeringar!$M:$IV</definedName>
    <definedName name="Z_27C9E95B_0E2B_454F_B637_1CECC9579A10_.wvu.Cols" localSheetId="7" hidden="1">Motpart!$AE:$IV</definedName>
    <definedName name="Z_27C9E95B_0E2B_454F_B637_1CECC9579A10_.wvu.Cols" localSheetId="8" hidden="1">'Pedagogisk verksamhet'!$H:$H,'Pedagogisk verksamhet'!$Y:$IV</definedName>
    <definedName name="Z_27C9E95B_0E2B_454F_B637_1CECC9579A10_.wvu.Cols" localSheetId="1" hidden="1">RR!$L:$IV</definedName>
    <definedName name="Z_27C9E95B_0E2B_454F_B637_1CECC9579A10_.wvu.Cols" localSheetId="4" hidden="1">'Skatter, bidrag o fin poster'!$U:$IV</definedName>
    <definedName name="Z_27C9E95B_0E2B_454F_B637_1CECC9579A10_.wvu.Cols" localSheetId="9" hidden="1">'Äldre o personer funktionsn'!$V:$IV</definedName>
    <definedName name="Z_27C9E95B_0E2B_454F_B637_1CECC9579A10_.wvu.Rows" localSheetId="2" hidden="1">BR!$94:$65536,BR!#REF!,BR!$89:$89</definedName>
    <definedName name="Z_27C9E95B_0E2B_454F_B637_1CECC9579A10_.wvu.Rows" localSheetId="6" hidden="1">Drift!$303:$65536,Drift!$127:$302</definedName>
    <definedName name="Z_27C9E95B_0E2B_454F_B637_1CECC9579A10_.wvu.Rows" localSheetId="10" hidden="1">IFO!$39:$65536,IFO!$38:$38</definedName>
    <definedName name="Z_27C9E95B_0E2B_454F_B637_1CECC9579A10_.wvu.Rows" localSheetId="0" hidden="1">Information!$51:$65536</definedName>
    <definedName name="Z_27C9E95B_0E2B_454F_B637_1CECC9579A10_.wvu.Rows" localSheetId="5" hidden="1">Investeringar!$118:$65536,Investeringar!$105:$114</definedName>
    <definedName name="Z_27C9E95B_0E2B_454F_B637_1CECC9579A10_.wvu.Rows" localSheetId="7" hidden="1">Motpart!$53:$65536</definedName>
    <definedName name="Z_27C9E95B_0E2B_454F_B637_1CECC9579A10_.wvu.Rows" localSheetId="8" hidden="1">'Pedagogisk verksamhet'!$105:$65536</definedName>
    <definedName name="Z_27C9E95B_0E2B_454F_B637_1CECC9579A10_.wvu.Rows" localSheetId="1" hidden="1">RR!$66:$65544,RR!$58:$58</definedName>
    <definedName name="Z_27C9E95B_0E2B_454F_B637_1CECC9579A10_.wvu.Rows" localSheetId="4" hidden="1">'Skatter, bidrag o fin poster'!$45:$65536,'Skatter, bidrag o fin poster'!$44:$44</definedName>
    <definedName name="Z_27C9E95B_0E2B_454F_B637_1CECC9579A10_.wvu.Rows" localSheetId="3" hidden="1">'Verks int o kostn'!#REF!,'Verks int o kostn'!#REF!</definedName>
    <definedName name="Z_27C9E95B_0E2B_454F_B637_1CECC9579A10_.wvu.Rows" localSheetId="9" hidden="1">'Äldre o personer funktionsn'!$61:$65536</definedName>
    <definedName name="Z_97D6DB71_3F4C_4C5F_8C5B_51E3EBF78932_.wvu.Cols" localSheetId="2" hidden="1">BR!#REF!</definedName>
    <definedName name="Z_97D6DB71_3F4C_4C5F_8C5B_51E3EBF78932_.wvu.Cols" localSheetId="6" hidden="1">Drift!#REF!</definedName>
    <definedName name="Z_97D6DB71_3F4C_4C5F_8C5B_51E3EBF78932_.wvu.Cols" localSheetId="10" hidden="1">IFO!#REF!</definedName>
    <definedName name="Z_97D6DB71_3F4C_4C5F_8C5B_51E3EBF78932_.wvu.Cols" localSheetId="0" hidden="1">Information!#REF!</definedName>
    <definedName name="Z_97D6DB71_3F4C_4C5F_8C5B_51E3EBF78932_.wvu.Cols" localSheetId="5" hidden="1">Investeringar!#REF!</definedName>
    <definedName name="Z_97D6DB71_3F4C_4C5F_8C5B_51E3EBF78932_.wvu.Cols" localSheetId="7" hidden="1">Motpart!#REF!</definedName>
    <definedName name="Z_97D6DB71_3F4C_4C5F_8C5B_51E3EBF78932_.wvu.Cols" localSheetId="1" hidden="1">RR!#REF!</definedName>
    <definedName name="Z_97D6DB71_3F4C_4C5F_8C5B_51E3EBF78932_.wvu.Cols" localSheetId="4" hidden="1">'Skatter, bidrag o fin poster'!#REF!</definedName>
    <definedName name="Z_97D6DB71_3F4C_4C5F_8C5B_51E3EBF78932_.wvu.Cols" localSheetId="3" hidden="1">'Verks int o kostn'!#REF!</definedName>
    <definedName name="Z_97D6DB71_3F4C_4C5F_8C5B_51E3EBF78932_.wvu.Cols" localSheetId="9" hidden="1">'Äldre o personer funktionsn'!#REF!</definedName>
    <definedName name="Z_97D6DB71_3F4C_4C5F_8C5B_51E3EBF78932_.wvu.PrintTitles" localSheetId="6" hidden="1">Drift!$A:$B,Drift!$1:$10</definedName>
    <definedName name="Z_97D6DB71_3F4C_4C5F_8C5B_51E3EBF78932_.wvu.Rows" localSheetId="2" hidden="1">BR!#REF!,BR!#REF!,BR!$89:$89</definedName>
    <definedName name="Z_97D6DB71_3F4C_4C5F_8C5B_51E3EBF78932_.wvu.Rows" localSheetId="6" hidden="1">Drift!#REF!,Drift!$127:$302</definedName>
    <definedName name="Z_97D6DB71_3F4C_4C5F_8C5B_51E3EBF78932_.wvu.Rows" localSheetId="10" hidden="1">IFO!#REF!,IFO!$38:$38</definedName>
    <definedName name="Z_97D6DB71_3F4C_4C5F_8C5B_51E3EBF78932_.wvu.Rows" localSheetId="0" hidden="1">Information!#REF!</definedName>
    <definedName name="Z_97D6DB71_3F4C_4C5F_8C5B_51E3EBF78932_.wvu.Rows" localSheetId="5" hidden="1">Investeringar!#REF!,Investeringar!$105:$114</definedName>
    <definedName name="Z_97D6DB71_3F4C_4C5F_8C5B_51E3EBF78932_.wvu.Rows" localSheetId="7" hidden="1">Motpart!#REF!</definedName>
    <definedName name="Z_97D6DB71_3F4C_4C5F_8C5B_51E3EBF78932_.wvu.Rows" localSheetId="8" hidden="1">'Pedagogisk verksamhet'!#REF!</definedName>
    <definedName name="Z_97D6DB71_3F4C_4C5F_8C5B_51E3EBF78932_.wvu.Rows" localSheetId="1" hidden="1">RR!#REF!,RR!$58:$58</definedName>
    <definedName name="Z_97D6DB71_3F4C_4C5F_8C5B_51E3EBF78932_.wvu.Rows" localSheetId="4" hidden="1">'Skatter, bidrag o fin poster'!#REF!,'Skatter, bidrag o fin poster'!$44:$44</definedName>
    <definedName name="Z_97D6DB71_3F4C_4C5F_8C5B_51E3EBF78932_.wvu.Rows" localSheetId="3" hidden="1">'Verks int o kostn'!#REF!</definedName>
    <definedName name="Z_97D6DB71_3F4C_4C5F_8C5B_51E3EBF78932_.wvu.Rows" localSheetId="9" hidden="1">'Äldre o personer funktionsn'!#REF!</definedName>
    <definedName name="Z_99FBDEB7_DD08_4F57_81F4_3C180403E153_.wvu.Cols" localSheetId="2" hidden="1">BR!#REF!</definedName>
    <definedName name="Z_99FBDEB7_DD08_4F57_81F4_3C180403E153_.wvu.Cols" localSheetId="6" hidden="1">Drift!#REF!</definedName>
    <definedName name="Z_99FBDEB7_DD08_4F57_81F4_3C180403E153_.wvu.Cols" localSheetId="10" hidden="1">IFO!#REF!</definedName>
    <definedName name="Z_99FBDEB7_DD08_4F57_81F4_3C180403E153_.wvu.Cols" localSheetId="0" hidden="1">Information!#REF!</definedName>
    <definedName name="Z_99FBDEB7_DD08_4F57_81F4_3C180403E153_.wvu.Cols" localSheetId="5" hidden="1">Investeringar!#REF!</definedName>
    <definedName name="Z_99FBDEB7_DD08_4F57_81F4_3C180403E153_.wvu.Cols" localSheetId="7" hidden="1">Motpart!#REF!</definedName>
    <definedName name="Z_99FBDEB7_DD08_4F57_81F4_3C180403E153_.wvu.Cols" localSheetId="1" hidden="1">RR!#REF!</definedName>
    <definedName name="Z_99FBDEB7_DD08_4F57_81F4_3C180403E153_.wvu.Cols" localSheetId="4" hidden="1">'Skatter, bidrag o fin poster'!#REF!</definedName>
    <definedName name="Z_99FBDEB7_DD08_4F57_81F4_3C180403E153_.wvu.Cols" localSheetId="3" hidden="1">'Verks int o kostn'!#REF!</definedName>
    <definedName name="Z_99FBDEB7_DD08_4F57_81F4_3C180403E153_.wvu.Cols" localSheetId="9" hidden="1">'Äldre o personer funktionsn'!#REF!</definedName>
    <definedName name="Z_99FBDEB7_DD08_4F57_81F4_3C180403E153_.wvu.Rows" localSheetId="2" hidden="1">BR!#REF!,BR!#REF!,BR!$89:$89</definedName>
    <definedName name="Z_99FBDEB7_DD08_4F57_81F4_3C180403E153_.wvu.Rows" localSheetId="6" hidden="1">Drift!#REF!,Drift!$127:$302</definedName>
    <definedName name="Z_99FBDEB7_DD08_4F57_81F4_3C180403E153_.wvu.Rows" localSheetId="10" hidden="1">IFO!#REF!,IFO!$38:$38</definedName>
    <definedName name="Z_99FBDEB7_DD08_4F57_81F4_3C180403E153_.wvu.Rows" localSheetId="0" hidden="1">Information!#REF!</definedName>
    <definedName name="Z_99FBDEB7_DD08_4F57_81F4_3C180403E153_.wvu.Rows" localSheetId="5" hidden="1">Investeringar!#REF!,Investeringar!$105:$114</definedName>
    <definedName name="Z_99FBDEB7_DD08_4F57_81F4_3C180403E153_.wvu.Rows" localSheetId="7" hidden="1">Motpart!#REF!</definedName>
    <definedName name="Z_99FBDEB7_DD08_4F57_81F4_3C180403E153_.wvu.Rows" localSheetId="8" hidden="1">'Pedagogisk verksamhet'!#REF!</definedName>
    <definedName name="Z_99FBDEB7_DD08_4F57_81F4_3C180403E153_.wvu.Rows" localSheetId="1" hidden="1">RR!#REF!,RR!$58:$58</definedName>
    <definedName name="Z_99FBDEB7_DD08_4F57_81F4_3C180403E153_.wvu.Rows" localSheetId="4" hidden="1">'Skatter, bidrag o fin poster'!#REF!,'Skatter, bidrag o fin poster'!$44:$44</definedName>
    <definedName name="Z_99FBDEB7_DD08_4F57_81F4_3C180403E153_.wvu.Rows" localSheetId="3" hidden="1">'Verks int o kostn'!#REF!</definedName>
    <definedName name="Z_99FBDEB7_DD08_4F57_81F4_3C180403E153_.wvu.Rows" localSheetId="9" hidden="1">'Äldre o personer funktionsn'!#REF!</definedName>
    <definedName name="Z_FA98FB86_76DB_4A0E_BD94_632DC6B7BC81_.wvu.Cols" localSheetId="6" hidden="1">Drift!$AG:$IV</definedName>
    <definedName name="Z_FA98FB86_76DB_4A0E_BD94_632DC6B7BC81_.wvu.Cols" localSheetId="10" hidden="1">IFO!#REF!</definedName>
    <definedName name="Z_FA98FB86_76DB_4A0E_BD94_632DC6B7BC81_.wvu.Cols" localSheetId="0" hidden="1">Information!$F:$IV</definedName>
    <definedName name="Z_FA98FB86_76DB_4A0E_BD94_632DC6B7BC81_.wvu.Cols" localSheetId="5" hidden="1">Investeringar!$M:$IV</definedName>
    <definedName name="Z_FA98FB86_76DB_4A0E_BD94_632DC6B7BC81_.wvu.Cols" localSheetId="7" hidden="1">Motpart!$AE:$IV</definedName>
    <definedName name="Z_FA98FB86_76DB_4A0E_BD94_632DC6B7BC81_.wvu.Cols" localSheetId="8" hidden="1">'Pedagogisk verksamhet'!$H:$H,'Pedagogisk verksamhet'!$Y:$IV</definedName>
    <definedName name="Z_FA98FB86_76DB_4A0E_BD94_632DC6B7BC81_.wvu.Cols" localSheetId="1" hidden="1">RR!$L:$IV</definedName>
    <definedName name="Z_FA98FB86_76DB_4A0E_BD94_632DC6B7BC81_.wvu.Cols" localSheetId="4" hidden="1">'Skatter, bidrag o fin poster'!$U:$IV</definedName>
    <definedName name="Z_FA98FB86_76DB_4A0E_BD94_632DC6B7BC81_.wvu.Cols" localSheetId="9" hidden="1">'Äldre o personer funktionsn'!$V:$IV</definedName>
    <definedName name="Z_FA98FB86_76DB_4A0E_BD94_632DC6B7BC81_.wvu.Rows" localSheetId="2" hidden="1">BR!$94:$65536,BR!#REF!,BR!$89:$89</definedName>
    <definedName name="Z_FA98FB86_76DB_4A0E_BD94_632DC6B7BC81_.wvu.Rows" localSheetId="6" hidden="1">Drift!$303:$65536,Drift!$127:$302</definedName>
    <definedName name="Z_FA98FB86_76DB_4A0E_BD94_632DC6B7BC81_.wvu.Rows" localSheetId="10" hidden="1">IFO!$39:$65536,IFO!$38:$38</definedName>
    <definedName name="Z_FA98FB86_76DB_4A0E_BD94_632DC6B7BC81_.wvu.Rows" localSheetId="0" hidden="1">Information!$51:$65536</definedName>
    <definedName name="Z_FA98FB86_76DB_4A0E_BD94_632DC6B7BC81_.wvu.Rows" localSheetId="5" hidden="1">Investeringar!$118:$65536,Investeringar!$105:$114</definedName>
    <definedName name="Z_FA98FB86_76DB_4A0E_BD94_632DC6B7BC81_.wvu.Rows" localSheetId="7" hidden="1">Motpart!$53:$65536</definedName>
    <definedName name="Z_FA98FB86_76DB_4A0E_BD94_632DC6B7BC81_.wvu.Rows" localSheetId="8" hidden="1">'Pedagogisk verksamhet'!$105:$65536</definedName>
    <definedName name="Z_FA98FB86_76DB_4A0E_BD94_632DC6B7BC81_.wvu.Rows" localSheetId="1" hidden="1">RR!$66:$65544,RR!$58:$58</definedName>
    <definedName name="Z_FA98FB86_76DB_4A0E_BD94_632DC6B7BC81_.wvu.Rows" localSheetId="4" hidden="1">'Skatter, bidrag o fin poster'!$45:$65536,'Skatter, bidrag o fin poster'!$44:$44</definedName>
    <definedName name="Z_FA98FB86_76DB_4A0E_BD94_632DC6B7BC81_.wvu.Rows" localSheetId="3" hidden="1">'Verks int o kostn'!#REF!</definedName>
    <definedName name="Z_FA98FB86_76DB_4A0E_BD94_632DC6B7BC81_.wvu.Rows" localSheetId="9" hidden="1">'Äldre o personer funktionsn'!$61:$65536</definedName>
    <definedName name="År">2021</definedName>
    <definedName name="ÄF_inkl_IFO">Drift!$Z$72</definedName>
    <definedName name="Äldre">'Äldre o personer funktionsn'!$T$12</definedName>
    <definedName name="Övr._o_ek.bistånd">IFO!$P$30</definedName>
  </definedNames>
  <calcPr calcId="191029"/>
  <customWorkbookViews>
    <customWorkbookView name="Håkan Wilén - Personlig vy" guid="{FA98FB86-76DB-4A0E-BD94-632DC6B7BC81}" mergeInterval="0" personalView="1" maximized="1" xWindow="1" yWindow="1" windowWidth="1680" windowHeight="829" tabRatio="806" activeSheetId="3"/>
    <customWorkbookView name="scbelie - Personlig vy" guid="{97D6DB71-3F4C-4C5F-8C5B-51E3EBF78932}" mergeInterval="0" personalView="1" maximized="1" xWindow="1" yWindow="1" windowWidth="1676" windowHeight="829" tabRatio="806" activeSheetId="11"/>
    <customWorkbookView name="scbingj - Personlig vy" guid="{99FBDEB7-DD08-4F57-81F4-3C180403E153}" mergeInterval="0" personalView="1" maximized="1" xWindow="1" yWindow="1" windowWidth="1916" windowHeight="839" tabRatio="806" activeSheetId="10"/>
    <customWorkbookView name="SCB - Personlig vy" guid="{27C9E95B-0E2B-454F-B637-1CECC9579A10}" mergeInterval="0" personalView="1" maximized="1" windowWidth="1916" windowHeight="881" tabRatio="80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2" l="1"/>
  <c r="I33" i="12"/>
  <c r="I32" i="12"/>
  <c r="I31" i="12"/>
  <c r="I30" i="12"/>
  <c r="I29" i="12"/>
  <c r="I26" i="12"/>
  <c r="I25" i="12"/>
  <c r="I24" i="12"/>
  <c r="I23" i="12"/>
  <c r="I22" i="12"/>
  <c r="I21" i="12"/>
  <c r="I18" i="12"/>
  <c r="I17" i="12"/>
  <c r="I16" i="12"/>
  <c r="I15" i="12"/>
  <c r="I14" i="12"/>
  <c r="I13" i="12"/>
  <c r="I12" i="12"/>
  <c r="J1" i="12"/>
  <c r="A1" i="12"/>
  <c r="M35" i="11"/>
  <c r="M34" i="11"/>
  <c r="M33" i="11"/>
  <c r="M32" i="11"/>
  <c r="M31" i="11"/>
  <c r="M27" i="11"/>
  <c r="M26" i="11"/>
  <c r="M25" i="11"/>
  <c r="M24" i="11"/>
  <c r="M23" i="11"/>
  <c r="M22" i="11"/>
  <c r="M21" i="11"/>
  <c r="M17" i="11"/>
  <c r="M16" i="11"/>
  <c r="M15" i="11"/>
  <c r="M14" i="11"/>
  <c r="M13" i="11"/>
  <c r="M12" i="11"/>
  <c r="P1" i="11"/>
  <c r="A1" i="11"/>
  <c r="M99" i="10"/>
  <c r="M98" i="10"/>
  <c r="M97" i="10"/>
  <c r="M96" i="10"/>
  <c r="M91" i="10"/>
  <c r="M90" i="10"/>
  <c r="M89" i="10"/>
  <c r="M88" i="10"/>
  <c r="M87" i="10"/>
  <c r="M84" i="10"/>
  <c r="M83" i="10"/>
  <c r="M82" i="10"/>
  <c r="M81" i="10"/>
  <c r="M8" i="10"/>
  <c r="M79" i="10"/>
  <c r="M78" i="10"/>
  <c r="M77" i="10"/>
  <c r="M76" i="10"/>
  <c r="M75" i="10"/>
  <c r="M74" i="10"/>
  <c r="M73" i="10"/>
  <c r="M70" i="10"/>
  <c r="M69" i="10"/>
  <c r="M68" i="10"/>
  <c r="M67" i="10"/>
  <c r="M65" i="10"/>
  <c r="M64" i="10"/>
  <c r="M63" i="10"/>
  <c r="M62" i="10"/>
  <c r="M61" i="10"/>
  <c r="M60" i="10"/>
  <c r="M59" i="10"/>
  <c r="M56" i="10"/>
  <c r="M55" i="10"/>
  <c r="M54" i="10"/>
  <c r="M53" i="10"/>
  <c r="M51" i="10"/>
  <c r="M50" i="10"/>
  <c r="M49" i="10"/>
  <c r="M48" i="10"/>
  <c r="M47" i="10"/>
  <c r="M46" i="10"/>
  <c r="M45" i="10"/>
  <c r="M42" i="10"/>
  <c r="M41" i="10"/>
  <c r="M40" i="10"/>
  <c r="M38" i="10"/>
  <c r="M37" i="10"/>
  <c r="M36" i="10"/>
  <c r="M35" i="10"/>
  <c r="M34" i="10"/>
  <c r="M33" i="10"/>
  <c r="M32" i="10"/>
  <c r="M30" i="10"/>
  <c r="M29" i="10"/>
  <c r="M28" i="10"/>
  <c r="M27" i="10"/>
  <c r="M24" i="10"/>
  <c r="M21" i="10"/>
  <c r="M19" i="10"/>
  <c r="M16" i="10"/>
  <c r="M14" i="10"/>
  <c r="M13" i="10"/>
  <c r="M12" i="10"/>
  <c r="M11" i="10"/>
  <c r="M100" i="10"/>
  <c r="J1" i="10"/>
  <c r="A1" i="10"/>
  <c r="AA1" i="9"/>
  <c r="K1" i="9"/>
  <c r="S1" i="9"/>
  <c r="C1" i="9"/>
  <c r="Z1" i="8"/>
  <c r="J1" i="8"/>
  <c r="R1" i="8"/>
  <c r="C1" i="8"/>
  <c r="H1" i="7"/>
  <c r="A1" i="7"/>
  <c r="T1" i="20"/>
  <c r="A1" i="20"/>
  <c r="J1" i="19"/>
  <c r="A1" i="19"/>
  <c r="F1" i="4"/>
  <c r="A1" i="4"/>
  <c r="G1" i="17"/>
  <c r="A1" i="17"/>
  <c r="R36" i="11" l="1"/>
  <c r="R23" i="11"/>
  <c r="R14" i="11"/>
  <c r="E41" i="20" l="1"/>
  <c r="J7" i="7" l="1"/>
  <c r="L60" i="4"/>
  <c r="L59" i="4"/>
  <c r="N34" i="9" l="1"/>
  <c r="N32" i="9"/>
  <c r="C34" i="9"/>
  <c r="C32" i="9"/>
  <c r="J17" i="17" l="1"/>
  <c r="J31" i="19" l="1"/>
  <c r="J29" i="19"/>
  <c r="N49" i="4" l="1"/>
  <c r="M48" i="4"/>
  <c r="M47" i="4"/>
  <c r="F50" i="4"/>
  <c r="F47" i="4"/>
  <c r="F45" i="4"/>
  <c r="E57" i="4" l="1"/>
  <c r="D57" i="4"/>
  <c r="D49" i="4"/>
  <c r="F49" i="4" s="1"/>
  <c r="M49" i="4" l="1"/>
  <c r="F21" i="4" l="1"/>
  <c r="L67" i="4" l="1"/>
  <c r="L68" i="4"/>
  <c r="F84" i="4" l="1"/>
  <c r="P125" i="8" l="1"/>
  <c r="C52" i="19" l="1"/>
  <c r="D53" i="19"/>
  <c r="C46" i="19"/>
  <c r="B35" i="17" l="1"/>
  <c r="B34" i="17"/>
  <c r="G42" i="11" l="1"/>
  <c r="G41" i="11"/>
  <c r="AC41" i="9"/>
  <c r="AB41" i="9"/>
  <c r="AA41" i="9"/>
  <c r="Z41" i="9"/>
  <c r="Y41" i="9"/>
  <c r="I17" i="17" l="1"/>
  <c r="F30" i="4"/>
  <c r="R15" i="20" l="1"/>
  <c r="R16" i="20"/>
  <c r="D39" i="20" l="1"/>
  <c r="K30" i="20"/>
  <c r="D28" i="20"/>
  <c r="K16" i="20"/>
  <c r="D14" i="20"/>
  <c r="C11" i="17" s="1"/>
  <c r="C11" i="20"/>
  <c r="C10" i="20"/>
  <c r="C9" i="20"/>
  <c r="R8" i="20"/>
  <c r="C12" i="17" l="1"/>
  <c r="K31" i="20"/>
  <c r="K17" i="20"/>
  <c r="E12" i="10" l="1"/>
  <c r="C26" i="10"/>
  <c r="C18" i="10"/>
  <c r="C10" i="10"/>
  <c r="J8" i="7" l="1"/>
  <c r="J10" i="7"/>
  <c r="J9" i="7"/>
  <c r="D76" i="19" l="1"/>
  <c r="D71" i="19"/>
  <c r="N67" i="19"/>
  <c r="N60" i="19"/>
  <c r="D58" i="19"/>
  <c r="N49" i="19"/>
  <c r="N48" i="19"/>
  <c r="N45" i="19"/>
  <c r="D44" i="19"/>
  <c r="N38" i="19"/>
  <c r="M38" i="19"/>
  <c r="L36" i="19"/>
  <c r="D35" i="19"/>
  <c r="D30" i="19"/>
  <c r="D25" i="19"/>
  <c r="N21" i="19"/>
  <c r="D16" i="19"/>
  <c r="N16" i="19" s="1"/>
  <c r="N13" i="19"/>
  <c r="D12" i="19"/>
  <c r="N8" i="19"/>
  <c r="N6" i="19"/>
  <c r="M6" i="19"/>
  <c r="L4" i="19"/>
  <c r="N44" i="19" l="1"/>
  <c r="N12" i="19"/>
  <c r="N25" i="19"/>
  <c r="N58" i="19"/>
  <c r="N71" i="19"/>
  <c r="N30" i="19"/>
  <c r="D75" i="19"/>
  <c r="D34" i="19"/>
  <c r="W122" i="8" l="1"/>
  <c r="I55" i="17" l="1"/>
  <c r="J51" i="17"/>
  <c r="I51" i="17"/>
  <c r="B43" i="17"/>
  <c r="B39" i="17"/>
  <c r="B38" i="17"/>
  <c r="B37" i="17"/>
  <c r="B36" i="17"/>
  <c r="B33" i="17"/>
  <c r="B32" i="17"/>
  <c r="B31" i="17"/>
  <c r="J14" i="17"/>
  <c r="I14" i="17"/>
  <c r="D10" i="17"/>
  <c r="C10" i="17"/>
  <c r="J9" i="17"/>
  <c r="I9" i="17"/>
  <c r="J8" i="17"/>
  <c r="I8" i="17"/>
  <c r="J7" i="17"/>
  <c r="I7" i="17"/>
  <c r="D11" i="17" l="1"/>
  <c r="J11" i="17" s="1"/>
  <c r="I10" i="17"/>
  <c r="I11" i="17"/>
  <c r="J10" i="17"/>
  <c r="F19" i="4" l="1"/>
  <c r="Q36" i="11" l="1"/>
  <c r="I38" i="10" l="1"/>
  <c r="A5" i="2" l="1"/>
  <c r="A4" i="2"/>
  <c r="I99" i="10" l="1"/>
  <c r="I90" i="10"/>
  <c r="I79" i="10"/>
  <c r="I65" i="10"/>
  <c r="I51" i="10"/>
  <c r="F67" i="4" l="1"/>
  <c r="D32" i="12"/>
  <c r="D30" i="12"/>
  <c r="D29" i="12"/>
  <c r="D21" i="12"/>
  <c r="D12" i="12"/>
  <c r="D31" i="11"/>
  <c r="D21" i="11"/>
  <c r="D12" i="11"/>
  <c r="F85" i="4"/>
  <c r="L58" i="4"/>
  <c r="L61" i="4"/>
  <c r="F54" i="4"/>
  <c r="F52" i="4"/>
  <c r="N57" i="4"/>
  <c r="J65" i="4"/>
  <c r="K55" i="4"/>
  <c r="F55" i="4"/>
  <c r="J55" i="4"/>
  <c r="F51" i="4"/>
  <c r="F9" i="4"/>
  <c r="D35" i="12"/>
  <c r="E35" i="12"/>
  <c r="D26" i="12"/>
  <c r="E26" i="12"/>
  <c r="D27" i="12"/>
  <c r="E27" i="12"/>
  <c r="D19" i="12"/>
  <c r="E19" i="12"/>
  <c r="D18" i="12"/>
  <c r="E18" i="12"/>
  <c r="M70" i="4"/>
  <c r="E32" i="12"/>
  <c r="E30" i="12"/>
  <c r="E29" i="12"/>
  <c r="E21" i="12"/>
  <c r="E12" i="12"/>
  <c r="L25" i="11"/>
  <c r="L26" i="11"/>
  <c r="K25" i="11"/>
  <c r="O25" i="11" s="1"/>
  <c r="K26" i="11"/>
  <c r="O26" i="11" s="1"/>
  <c r="L33" i="11"/>
  <c r="L34" i="11"/>
  <c r="L35" i="11"/>
  <c r="L36" i="11"/>
  <c r="L32" i="11"/>
  <c r="L23" i="11"/>
  <c r="L24" i="11"/>
  <c r="L27" i="11"/>
  <c r="L28" i="11"/>
  <c r="L14" i="11"/>
  <c r="L15" i="11"/>
  <c r="L16" i="11"/>
  <c r="L17" i="11"/>
  <c r="L18" i="11"/>
  <c r="L13" i="11"/>
  <c r="L22" i="11"/>
  <c r="D37" i="11"/>
  <c r="D29" i="11"/>
  <c r="D19" i="11"/>
  <c r="H15" i="7"/>
  <c r="G15" i="7"/>
  <c r="D98" i="7"/>
  <c r="C98" i="7"/>
  <c r="E98" i="7" s="1"/>
  <c r="E32" i="4"/>
  <c r="N32" i="4" s="1"/>
  <c r="D30" i="4"/>
  <c r="D26" i="4"/>
  <c r="F26" i="4" s="1"/>
  <c r="M78" i="4"/>
  <c r="M76" i="4"/>
  <c r="AB110" i="8"/>
  <c r="J8" i="12"/>
  <c r="I8" i="12"/>
  <c r="K4" i="12"/>
  <c r="O4" i="11"/>
  <c r="N8" i="11"/>
  <c r="M8" i="11"/>
  <c r="AC4" i="8"/>
  <c r="AG38" i="8"/>
  <c r="AG62" i="8"/>
  <c r="AF38" i="8"/>
  <c r="AE5" i="8"/>
  <c r="AB5" i="8"/>
  <c r="AA5" i="8"/>
  <c r="AE4" i="8"/>
  <c r="B85" i="4"/>
  <c r="Z5" i="8"/>
  <c r="M74" i="4"/>
  <c r="D75" i="4"/>
  <c r="I31" i="11"/>
  <c r="I21" i="11"/>
  <c r="M6" i="12"/>
  <c r="F12" i="12"/>
  <c r="G12" i="12"/>
  <c r="G13" i="12"/>
  <c r="H13" i="12" s="1"/>
  <c r="H14" i="12"/>
  <c r="H15" i="12"/>
  <c r="K15" i="12" s="1"/>
  <c r="H16" i="12"/>
  <c r="K16" i="12" s="1"/>
  <c r="H17" i="12"/>
  <c r="K17" i="12" s="1"/>
  <c r="C18" i="12"/>
  <c r="F18" i="12"/>
  <c r="G18" i="12"/>
  <c r="C19" i="12"/>
  <c r="F19" i="12"/>
  <c r="F21" i="12"/>
  <c r="G21" i="12"/>
  <c r="G22" i="12"/>
  <c r="H22" i="12" s="1"/>
  <c r="K22" i="12" s="1"/>
  <c r="H23" i="12"/>
  <c r="K23" i="12" s="1"/>
  <c r="H24" i="12"/>
  <c r="K24" i="12" s="1"/>
  <c r="H25" i="12"/>
  <c r="K25" i="12" s="1"/>
  <c r="C26" i="12"/>
  <c r="F26" i="12"/>
  <c r="G26" i="12"/>
  <c r="C27" i="12"/>
  <c r="F27" i="12"/>
  <c r="F29" i="12"/>
  <c r="F30" i="12"/>
  <c r="F32" i="12"/>
  <c r="G32" i="12"/>
  <c r="H33" i="12"/>
  <c r="K33" i="12" s="1"/>
  <c r="H34" i="12"/>
  <c r="C35" i="12"/>
  <c r="F35" i="12"/>
  <c r="G35" i="12"/>
  <c r="Q6" i="11"/>
  <c r="E12" i="11"/>
  <c r="C49" i="11" s="1"/>
  <c r="F12" i="11"/>
  <c r="G12" i="11"/>
  <c r="H12" i="11"/>
  <c r="I12" i="11"/>
  <c r="J12" i="11"/>
  <c r="K13" i="11"/>
  <c r="K14" i="11"/>
  <c r="K15" i="11"/>
  <c r="K16" i="11"/>
  <c r="K17" i="11"/>
  <c r="K18" i="11"/>
  <c r="C19" i="11"/>
  <c r="E19" i="11"/>
  <c r="F19" i="11"/>
  <c r="G19" i="11"/>
  <c r="H19" i="11"/>
  <c r="I19" i="11"/>
  <c r="J19" i="11"/>
  <c r="E21" i="11"/>
  <c r="F21" i="11"/>
  <c r="G21" i="11"/>
  <c r="H21" i="11"/>
  <c r="J21" i="11"/>
  <c r="K22" i="11"/>
  <c r="K23" i="11"/>
  <c r="K24" i="11"/>
  <c r="K27" i="11"/>
  <c r="K28" i="11"/>
  <c r="C29" i="11"/>
  <c r="E29" i="11"/>
  <c r="F29" i="11"/>
  <c r="G29" i="11"/>
  <c r="H29" i="11"/>
  <c r="I29" i="11"/>
  <c r="J29" i="11"/>
  <c r="E31" i="11"/>
  <c r="F31" i="11"/>
  <c r="G31" i="11"/>
  <c r="H31" i="11"/>
  <c r="J31" i="11"/>
  <c r="K32" i="11"/>
  <c r="K33" i="11"/>
  <c r="O33" i="11" s="1"/>
  <c r="K34" i="11"/>
  <c r="K35" i="11"/>
  <c r="O35" i="11" s="1"/>
  <c r="K36" i="11"/>
  <c r="C37" i="11"/>
  <c r="E37" i="11"/>
  <c r="F37" i="11"/>
  <c r="G37" i="11"/>
  <c r="H37" i="11"/>
  <c r="I37" i="11"/>
  <c r="J37" i="11"/>
  <c r="E49" i="11"/>
  <c r="F49" i="11"/>
  <c r="G49" i="11"/>
  <c r="H49" i="11"/>
  <c r="I49" i="11"/>
  <c r="J49" i="11"/>
  <c r="L49" i="11"/>
  <c r="M49" i="11"/>
  <c r="C50" i="11"/>
  <c r="C51" i="11"/>
  <c r="C52" i="11"/>
  <c r="E53" i="11"/>
  <c r="F53" i="11"/>
  <c r="G53" i="11"/>
  <c r="H53" i="11"/>
  <c r="I53" i="11"/>
  <c r="J53" i="11"/>
  <c r="L53" i="11"/>
  <c r="M53" i="11"/>
  <c r="C54" i="11"/>
  <c r="C55" i="11"/>
  <c r="C56" i="11"/>
  <c r="E57" i="11"/>
  <c r="F57" i="11"/>
  <c r="G57" i="11"/>
  <c r="H57" i="11"/>
  <c r="I57" i="11"/>
  <c r="J57" i="11"/>
  <c r="L57" i="11"/>
  <c r="M57" i="11"/>
  <c r="C58" i="11"/>
  <c r="M7" i="10"/>
  <c r="D8" i="10"/>
  <c r="F8" i="10"/>
  <c r="G8" i="10"/>
  <c r="D16" i="10"/>
  <c r="F16" i="10"/>
  <c r="G16" i="10"/>
  <c r="E20" i="10"/>
  <c r="D24" i="10"/>
  <c r="F24" i="10"/>
  <c r="G24" i="10"/>
  <c r="D31" i="10"/>
  <c r="M39" i="10" s="1"/>
  <c r="F31" i="10"/>
  <c r="G31" i="10"/>
  <c r="G40" i="10" s="1"/>
  <c r="G43" i="10" s="1"/>
  <c r="D44" i="10"/>
  <c r="M52" i="10" s="1"/>
  <c r="F44" i="10"/>
  <c r="G44" i="10"/>
  <c r="G53" i="10" s="1"/>
  <c r="G57" i="10" s="1"/>
  <c r="D58" i="10"/>
  <c r="M66" i="10" s="1"/>
  <c r="F58" i="10"/>
  <c r="G58" i="10"/>
  <c r="G67" i="10" s="1"/>
  <c r="G71" i="10" s="1"/>
  <c r="D72" i="10"/>
  <c r="M80" i="10" s="1"/>
  <c r="F72" i="10"/>
  <c r="G72" i="10"/>
  <c r="G81" i="10" s="1"/>
  <c r="G85" i="10" s="1"/>
  <c r="D86" i="10"/>
  <c r="F86" i="10"/>
  <c r="G86" i="10"/>
  <c r="G93" i="10" s="1"/>
  <c r="G94" i="10" s="1"/>
  <c r="D95" i="10"/>
  <c r="F95" i="10"/>
  <c r="G95" i="10"/>
  <c r="G102" i="10" s="1"/>
  <c r="G103" i="10" s="1"/>
  <c r="C13" i="9"/>
  <c r="M13" i="9" s="1"/>
  <c r="N13" i="9"/>
  <c r="X13" i="9" s="1"/>
  <c r="C14" i="9"/>
  <c r="M14" i="9" s="1"/>
  <c r="N14" i="9"/>
  <c r="X14" i="9" s="1"/>
  <c r="C15" i="9"/>
  <c r="M15" i="9" s="1"/>
  <c r="N15" i="9"/>
  <c r="X15" i="9" s="1"/>
  <c r="C16" i="9"/>
  <c r="M16" i="9" s="1"/>
  <c r="N16" i="9"/>
  <c r="X16" i="9" s="1"/>
  <c r="C17" i="9"/>
  <c r="M17" i="9" s="1"/>
  <c r="N17" i="9"/>
  <c r="X17" i="9" s="1"/>
  <c r="C18" i="9"/>
  <c r="M18" i="9" s="1"/>
  <c r="N18" i="9"/>
  <c r="X18" i="9" s="1"/>
  <c r="C19" i="9"/>
  <c r="M19" i="9" s="1"/>
  <c r="N19" i="9"/>
  <c r="X19" i="9" s="1"/>
  <c r="C20" i="9"/>
  <c r="M20" i="9" s="1"/>
  <c r="N20" i="9"/>
  <c r="X20" i="9" s="1"/>
  <c r="C21" i="9"/>
  <c r="M21" i="9" s="1"/>
  <c r="N21" i="9"/>
  <c r="X21" i="9" s="1"/>
  <c r="C22" i="9"/>
  <c r="M22" i="9" s="1"/>
  <c r="N22" i="9"/>
  <c r="X22" i="9" s="1"/>
  <c r="C23" i="9"/>
  <c r="M23" i="9" s="1"/>
  <c r="N23" i="9"/>
  <c r="X23" i="9" s="1"/>
  <c r="C24" i="9"/>
  <c r="M24" i="9" s="1"/>
  <c r="N24" i="9"/>
  <c r="X24" i="9" s="1"/>
  <c r="C25" i="9"/>
  <c r="M25" i="9" s="1"/>
  <c r="N25" i="9"/>
  <c r="X25" i="9" s="1"/>
  <c r="C26" i="9"/>
  <c r="M26" i="9" s="1"/>
  <c r="N26" i="9"/>
  <c r="X26" i="9" s="1"/>
  <c r="C27" i="9"/>
  <c r="M27" i="9" s="1"/>
  <c r="N27" i="9"/>
  <c r="X27" i="9" s="1"/>
  <c r="C28" i="9"/>
  <c r="M28" i="9" s="1"/>
  <c r="N28" i="9"/>
  <c r="X28" i="9" s="1"/>
  <c r="C29" i="9"/>
  <c r="M29" i="9" s="1"/>
  <c r="N29" i="9"/>
  <c r="X29" i="9" s="1"/>
  <c r="C30" i="9"/>
  <c r="M30" i="9" s="1"/>
  <c r="N30" i="9"/>
  <c r="X30" i="9" s="1"/>
  <c r="C31" i="9"/>
  <c r="M31" i="9" s="1"/>
  <c r="N31" i="9"/>
  <c r="M32" i="9"/>
  <c r="X32" i="9"/>
  <c r="C33" i="9"/>
  <c r="N33" i="9"/>
  <c r="X33" i="9" s="1"/>
  <c r="M34" i="9"/>
  <c r="X34" i="9"/>
  <c r="C35" i="9"/>
  <c r="M35" i="9" s="1"/>
  <c r="N35" i="9"/>
  <c r="C36" i="9"/>
  <c r="M36" i="9" s="1"/>
  <c r="N36" i="9"/>
  <c r="X36" i="9" s="1"/>
  <c r="C37" i="9"/>
  <c r="M37" i="9" s="1"/>
  <c r="N37" i="9"/>
  <c r="X37" i="9" s="1"/>
  <c r="C39" i="9"/>
  <c r="M39" i="9" s="1"/>
  <c r="N39" i="9"/>
  <c r="X39" i="9" s="1"/>
  <c r="D40" i="9"/>
  <c r="E40" i="9"/>
  <c r="F40" i="9"/>
  <c r="G40" i="9"/>
  <c r="H40" i="9"/>
  <c r="I40" i="9"/>
  <c r="J40" i="9"/>
  <c r="K40" i="9"/>
  <c r="L40" i="9"/>
  <c r="O40" i="9"/>
  <c r="P40" i="9"/>
  <c r="Q40" i="9"/>
  <c r="R40" i="9"/>
  <c r="E19" i="19" s="1"/>
  <c r="S40" i="9"/>
  <c r="T40" i="9"/>
  <c r="U40" i="9"/>
  <c r="V40" i="9"/>
  <c r="W40" i="9"/>
  <c r="Y40" i="9"/>
  <c r="Z40" i="9"/>
  <c r="AA40" i="9"/>
  <c r="AB40" i="9"/>
  <c r="AC40" i="9"/>
  <c r="AC42" i="9" s="1"/>
  <c r="W13" i="8"/>
  <c r="AH13" i="8" s="1"/>
  <c r="W14" i="8"/>
  <c r="AH14" i="8" s="1"/>
  <c r="W15" i="8"/>
  <c r="AH15" i="8" s="1"/>
  <c r="W16" i="8"/>
  <c r="AH16" i="8" s="1"/>
  <c r="C17" i="8"/>
  <c r="D17" i="8"/>
  <c r="E17" i="8"/>
  <c r="F17" i="8"/>
  <c r="C9" i="9" s="1"/>
  <c r="M9" i="9" s="1"/>
  <c r="G17" i="8"/>
  <c r="H17" i="8"/>
  <c r="I17" i="8"/>
  <c r="J17" i="8"/>
  <c r="L17" i="8"/>
  <c r="M17" i="8"/>
  <c r="N17" i="8"/>
  <c r="R17" i="8"/>
  <c r="S17" i="8"/>
  <c r="T17" i="8"/>
  <c r="V17" i="8"/>
  <c r="W19" i="8"/>
  <c r="AH19" i="8" s="1"/>
  <c r="W20" i="8"/>
  <c r="AH20" i="8" s="1"/>
  <c r="W21" i="8"/>
  <c r="AH21" i="8" s="1"/>
  <c r="W22" i="8"/>
  <c r="AH22" i="8" s="1"/>
  <c r="W23" i="8"/>
  <c r="AH23" i="8" s="1"/>
  <c r="W24" i="8"/>
  <c r="AH24" i="8" s="1"/>
  <c r="W25" i="8"/>
  <c r="AH25" i="8" s="1"/>
  <c r="W26" i="8"/>
  <c r="AH26" i="8" s="1"/>
  <c r="W27" i="8"/>
  <c r="AH27" i="8" s="1"/>
  <c r="W28" i="8"/>
  <c r="AH28" i="8" s="1"/>
  <c r="W29" i="8"/>
  <c r="AH29" i="8" s="1"/>
  <c r="C30" i="8"/>
  <c r="D30" i="8"/>
  <c r="E30" i="8"/>
  <c r="F30" i="8"/>
  <c r="C10" i="9" s="1"/>
  <c r="M10" i="9" s="1"/>
  <c r="G30" i="8"/>
  <c r="H30" i="8"/>
  <c r="N10" i="9" s="1"/>
  <c r="X10" i="9" s="1"/>
  <c r="I30" i="8"/>
  <c r="J30" i="8"/>
  <c r="L30" i="8"/>
  <c r="M30" i="8"/>
  <c r="N30" i="8"/>
  <c r="R30" i="8"/>
  <c r="S30" i="8"/>
  <c r="T30" i="8"/>
  <c r="V30" i="8"/>
  <c r="W33" i="8"/>
  <c r="AH33" i="8" s="1"/>
  <c r="W34" i="8"/>
  <c r="AH34" i="8" s="1"/>
  <c r="W35" i="8"/>
  <c r="AH35" i="8" s="1"/>
  <c r="W36" i="8"/>
  <c r="AH36" i="8" s="1"/>
  <c r="C37" i="8"/>
  <c r="D37" i="8"/>
  <c r="E37" i="8"/>
  <c r="F37" i="8"/>
  <c r="C11" i="9" s="1"/>
  <c r="M11" i="9" s="1"/>
  <c r="G37" i="8"/>
  <c r="H37" i="8"/>
  <c r="I37" i="8"/>
  <c r="J37" i="8"/>
  <c r="L37" i="8"/>
  <c r="M37" i="8"/>
  <c r="N37" i="8"/>
  <c r="N43" i="8" s="1"/>
  <c r="R37" i="8"/>
  <c r="S37" i="8"/>
  <c r="T37" i="8"/>
  <c r="V37" i="8"/>
  <c r="W39" i="8"/>
  <c r="AH39" i="8" s="1"/>
  <c r="W40" i="8"/>
  <c r="AH40" i="8" s="1"/>
  <c r="W41" i="8"/>
  <c r="AH41" i="8" s="1"/>
  <c r="C42" i="8"/>
  <c r="D42" i="8"/>
  <c r="D43" i="8" s="1"/>
  <c r="E42" i="8"/>
  <c r="F42" i="8"/>
  <c r="C12" i="9" s="1"/>
  <c r="M12" i="9" s="1"/>
  <c r="G42" i="8"/>
  <c r="G43" i="8" s="1"/>
  <c r="H42" i="8"/>
  <c r="N12" i="9" s="1"/>
  <c r="X12" i="9" s="1"/>
  <c r="I42" i="8"/>
  <c r="J42" i="8"/>
  <c r="L42" i="8"/>
  <c r="M42" i="8"/>
  <c r="M43" i="8" s="1"/>
  <c r="N42" i="8"/>
  <c r="R42" i="8"/>
  <c r="S42" i="8"/>
  <c r="T42" i="8"/>
  <c r="V42" i="8"/>
  <c r="W46" i="8"/>
  <c r="AH46" i="8" s="1"/>
  <c r="W47" i="8"/>
  <c r="AH47" i="8" s="1"/>
  <c r="W48" i="8"/>
  <c r="AH48" i="8" s="1"/>
  <c r="W49" i="8"/>
  <c r="AH49" i="8" s="1"/>
  <c r="W50" i="8"/>
  <c r="AH50" i="8" s="1"/>
  <c r="C51" i="8"/>
  <c r="D51" i="8"/>
  <c r="E51" i="8"/>
  <c r="F51" i="8"/>
  <c r="G51" i="8"/>
  <c r="H51" i="8"/>
  <c r="I51" i="8"/>
  <c r="J51" i="8"/>
  <c r="L51" i="8"/>
  <c r="M51" i="8"/>
  <c r="N51" i="8"/>
  <c r="R51" i="8"/>
  <c r="AE49" i="8" s="1"/>
  <c r="S51" i="8"/>
  <c r="T51" i="8"/>
  <c r="V51" i="8"/>
  <c r="W53" i="8"/>
  <c r="AH53" i="8" s="1"/>
  <c r="W54" i="8"/>
  <c r="AH54" i="8" s="1"/>
  <c r="W55" i="8"/>
  <c r="AH55" i="8" s="1"/>
  <c r="W56" i="8"/>
  <c r="AH56" i="8" s="1"/>
  <c r="W57" i="8"/>
  <c r="AH57" i="8" s="1"/>
  <c r="C58" i="8"/>
  <c r="C67" i="8" s="1"/>
  <c r="D58" i="8"/>
  <c r="D67" i="8" s="1"/>
  <c r="E58" i="8"/>
  <c r="E67" i="8" s="1"/>
  <c r="F58" i="8"/>
  <c r="F67" i="8" s="1"/>
  <c r="G58" i="8"/>
  <c r="G67" i="8" s="1"/>
  <c r="H58" i="8"/>
  <c r="H67" i="8" s="1"/>
  <c r="I58" i="8"/>
  <c r="I67" i="8" s="1"/>
  <c r="J58" i="8"/>
  <c r="J67" i="8" s="1"/>
  <c r="L58" i="8"/>
  <c r="L67" i="8" s="1"/>
  <c r="M58" i="8"/>
  <c r="M67" i="8" s="1"/>
  <c r="N58" i="8"/>
  <c r="N67" i="8" s="1"/>
  <c r="R58" i="8"/>
  <c r="R67" i="8" s="1"/>
  <c r="S58" i="8"/>
  <c r="S67" i="8" s="1"/>
  <c r="T58" i="8"/>
  <c r="T67" i="8" s="1"/>
  <c r="V58" i="8"/>
  <c r="V67" i="8" s="1"/>
  <c r="W60" i="8"/>
  <c r="E86" i="10" s="1"/>
  <c r="W61" i="8"/>
  <c r="AH61" i="8" s="1"/>
  <c r="W63" i="8"/>
  <c r="AH63" i="8" s="1"/>
  <c r="W64" i="8"/>
  <c r="AH64" i="8" s="1"/>
  <c r="W65" i="8"/>
  <c r="AH65" i="8" s="1"/>
  <c r="W66" i="8"/>
  <c r="AH66" i="8" s="1"/>
  <c r="W70" i="8"/>
  <c r="AH70" i="8" s="1"/>
  <c r="W71" i="8"/>
  <c r="AH71" i="8" s="1"/>
  <c r="W73" i="8"/>
  <c r="AH73" i="8" s="1"/>
  <c r="W74" i="8"/>
  <c r="AH74" i="8" s="1"/>
  <c r="W75" i="8"/>
  <c r="W76" i="8"/>
  <c r="AH76" i="8" s="1"/>
  <c r="C77" i="8"/>
  <c r="D77" i="8"/>
  <c r="E77" i="8"/>
  <c r="E85" i="8" s="1"/>
  <c r="F77" i="8"/>
  <c r="G77" i="8"/>
  <c r="H77" i="8"/>
  <c r="I77" i="8"/>
  <c r="J77" i="8"/>
  <c r="L77" i="8"/>
  <c r="M77" i="8"/>
  <c r="N77" i="8"/>
  <c r="N85" i="8" s="1"/>
  <c r="R77" i="8"/>
  <c r="S77" i="8"/>
  <c r="T77" i="8"/>
  <c r="V77" i="8"/>
  <c r="W79" i="8"/>
  <c r="AH79" i="8" s="1"/>
  <c r="W80" i="8"/>
  <c r="AH80" i="8" s="1"/>
  <c r="W81" i="8"/>
  <c r="AH81" i="8" s="1"/>
  <c r="W82" i="8"/>
  <c r="AH82" i="8" s="1"/>
  <c r="C83" i="8"/>
  <c r="D83" i="8"/>
  <c r="E83" i="8"/>
  <c r="F83" i="8"/>
  <c r="G83" i="8"/>
  <c r="H83" i="8"/>
  <c r="I83" i="8"/>
  <c r="J83" i="8"/>
  <c r="L83" i="8"/>
  <c r="M83" i="8"/>
  <c r="N83" i="8"/>
  <c r="R83" i="8"/>
  <c r="S83" i="8"/>
  <c r="T83" i="8"/>
  <c r="V83" i="8"/>
  <c r="W84" i="8"/>
  <c r="AH84" i="8" s="1"/>
  <c r="W87" i="8"/>
  <c r="AH87" i="8" s="1"/>
  <c r="W88" i="8"/>
  <c r="C89" i="8"/>
  <c r="D89" i="8"/>
  <c r="E89" i="8"/>
  <c r="F89" i="8"/>
  <c r="G89" i="8"/>
  <c r="H89" i="8"/>
  <c r="I89" i="8"/>
  <c r="J89" i="8"/>
  <c r="L89" i="8"/>
  <c r="M89" i="8"/>
  <c r="N89" i="8"/>
  <c r="R89" i="8"/>
  <c r="S89" i="8"/>
  <c r="T89" i="8"/>
  <c r="V89" i="8"/>
  <c r="W93" i="8"/>
  <c r="AH93" i="8" s="1"/>
  <c r="W94" i="8"/>
  <c r="AH94" i="8" s="1"/>
  <c r="W95" i="8"/>
  <c r="W96" i="8"/>
  <c r="AH96" i="8" s="1"/>
  <c r="C97" i="8"/>
  <c r="D97" i="8"/>
  <c r="E97" i="8"/>
  <c r="F97" i="8"/>
  <c r="G97" i="8"/>
  <c r="H97" i="8"/>
  <c r="I97" i="8"/>
  <c r="J97" i="8"/>
  <c r="L97" i="8"/>
  <c r="M97" i="8"/>
  <c r="N97" i="8"/>
  <c r="R97" i="8"/>
  <c r="S97" i="8"/>
  <c r="T97" i="8"/>
  <c r="V97" i="8"/>
  <c r="V109" i="8" s="1"/>
  <c r="W99" i="8"/>
  <c r="AH99" i="8" s="1"/>
  <c r="W100" i="8"/>
  <c r="AH100" i="8" s="1"/>
  <c r="W101" i="8"/>
  <c r="AH101" i="8" s="1"/>
  <c r="C102" i="8"/>
  <c r="D102" i="8"/>
  <c r="E102" i="8"/>
  <c r="F102" i="8"/>
  <c r="G102" i="8"/>
  <c r="H102" i="8"/>
  <c r="I102" i="8"/>
  <c r="J102" i="8"/>
  <c r="L102" i="8"/>
  <c r="M102" i="8"/>
  <c r="N102" i="8"/>
  <c r="R102" i="8"/>
  <c r="S102" i="8"/>
  <c r="T102" i="8"/>
  <c r="V102" i="8"/>
  <c r="W104" i="8"/>
  <c r="AH104" i="8" s="1"/>
  <c r="W105" i="8"/>
  <c r="AH105" i="8" s="1"/>
  <c r="W106" i="8"/>
  <c r="AH106" i="8" s="1"/>
  <c r="W107" i="8"/>
  <c r="AH107" i="8" s="1"/>
  <c r="C108" i="8"/>
  <c r="D108" i="8"/>
  <c r="E108" i="8"/>
  <c r="F108" i="8"/>
  <c r="G108" i="8"/>
  <c r="H108" i="8"/>
  <c r="I108" i="8"/>
  <c r="J108" i="8"/>
  <c r="L108" i="8"/>
  <c r="M108" i="8"/>
  <c r="N108" i="8"/>
  <c r="R108" i="8"/>
  <c r="S108" i="8"/>
  <c r="T108" i="8"/>
  <c r="T109" i="8" s="1"/>
  <c r="V108" i="8"/>
  <c r="P111" i="8"/>
  <c r="W111" i="8"/>
  <c r="P112" i="8"/>
  <c r="M114" i="8"/>
  <c r="C15" i="7"/>
  <c r="D15" i="7"/>
  <c r="F15" i="7"/>
  <c r="C33" i="7"/>
  <c r="D33" i="7"/>
  <c r="E33" i="7"/>
  <c r="F33" i="7"/>
  <c r="F49" i="7" s="1"/>
  <c r="C40" i="7"/>
  <c r="C41" i="7" s="1"/>
  <c r="C49" i="7" s="1"/>
  <c r="D40" i="7"/>
  <c r="D41" i="7"/>
  <c r="E40" i="7"/>
  <c r="E41" i="7" s="1"/>
  <c r="F40" i="7"/>
  <c r="F41" i="7" s="1"/>
  <c r="C47" i="7"/>
  <c r="D47" i="7"/>
  <c r="E47" i="7"/>
  <c r="F47" i="7"/>
  <c r="C54" i="7"/>
  <c r="D54" i="7"/>
  <c r="E54" i="7"/>
  <c r="F54" i="7"/>
  <c r="C58" i="7"/>
  <c r="D58" i="7"/>
  <c r="E58" i="7"/>
  <c r="F58" i="7"/>
  <c r="C63" i="7"/>
  <c r="D63" i="7"/>
  <c r="E63" i="7"/>
  <c r="F63" i="7"/>
  <c r="D12" i="4"/>
  <c r="M12" i="4" s="1"/>
  <c r="N12" i="4"/>
  <c r="D17" i="4"/>
  <c r="E15" i="7" s="1"/>
  <c r="N17" i="4"/>
  <c r="E18" i="4"/>
  <c r="M19" i="4"/>
  <c r="N19" i="4"/>
  <c r="F31" i="4"/>
  <c r="M57" i="4"/>
  <c r="F62" i="4"/>
  <c r="F63" i="4"/>
  <c r="F64" i="4"/>
  <c r="D67" i="4"/>
  <c r="N67" i="4"/>
  <c r="N76" i="4"/>
  <c r="M77" i="4"/>
  <c r="N77" i="4"/>
  <c r="N78" i="4"/>
  <c r="M79" i="4"/>
  <c r="N79" i="4"/>
  <c r="M80" i="4"/>
  <c r="N80" i="4"/>
  <c r="D81" i="4"/>
  <c r="E81" i="4"/>
  <c r="O15" i="11"/>
  <c r="R109" i="8"/>
  <c r="S85" i="8"/>
  <c r="I43" i="8"/>
  <c r="N11" i="9"/>
  <c r="X11" i="9" s="1"/>
  <c r="T43" i="8"/>
  <c r="E43" i="8"/>
  <c r="N9" i="9"/>
  <c r="X9" i="9" s="1"/>
  <c r="H43" i="8"/>
  <c r="M33" i="9"/>
  <c r="M95" i="10"/>
  <c r="K34" i="12"/>
  <c r="F64" i="7"/>
  <c r="D49" i="7"/>
  <c r="H26" i="12"/>
  <c r="K26" i="12" s="1"/>
  <c r="E44" i="10"/>
  <c r="E95" i="10"/>
  <c r="E102" i="10" s="1"/>
  <c r="E103" i="10" s="1"/>
  <c r="AH60" i="8"/>
  <c r="C82" i="7"/>
  <c r="E68" i="4"/>
  <c r="M67" i="4"/>
  <c r="M22" i="10" l="1"/>
  <c r="M20" i="10"/>
  <c r="F109" i="8"/>
  <c r="C38" i="9" s="1"/>
  <c r="O34" i="11"/>
  <c r="G19" i="12"/>
  <c r="G31" i="12"/>
  <c r="S68" i="8"/>
  <c r="M109" i="8"/>
  <c r="D109" i="8"/>
  <c r="M72" i="10"/>
  <c r="E58" i="10"/>
  <c r="E67" i="10" s="1"/>
  <c r="E71" i="10" s="1"/>
  <c r="W102" i="8"/>
  <c r="E49" i="7"/>
  <c r="V43" i="8"/>
  <c r="M68" i="8"/>
  <c r="E53" i="10"/>
  <c r="E57" i="10" s="1"/>
  <c r="C53" i="11"/>
  <c r="E33" i="4"/>
  <c r="F12" i="4"/>
  <c r="M17" i="4"/>
  <c r="E24" i="10"/>
  <c r="F43" i="8"/>
  <c r="H85" i="8"/>
  <c r="AE80" i="8" s="1"/>
  <c r="L85" i="8"/>
  <c r="G85" i="8"/>
  <c r="F68" i="8"/>
  <c r="E72" i="10"/>
  <c r="E81" i="10" s="1"/>
  <c r="E85" i="10" s="1"/>
  <c r="H109" i="8"/>
  <c r="N38" i="9" s="1"/>
  <c r="X38" i="9" s="1"/>
  <c r="L68" i="8"/>
  <c r="AE48" i="8"/>
  <c r="G68" i="8"/>
  <c r="T85" i="8"/>
  <c r="R68" i="8"/>
  <c r="C43" i="8"/>
  <c r="W42" i="8"/>
  <c r="AH42" i="8" s="1"/>
  <c r="G109" i="8"/>
  <c r="E8" i="10"/>
  <c r="W17" i="8"/>
  <c r="AH17" i="8" s="1"/>
  <c r="E16" i="10"/>
  <c r="X35" i="9"/>
  <c r="W108" i="8"/>
  <c r="J109" i="8"/>
  <c r="R85" i="8"/>
  <c r="J85" i="8"/>
  <c r="J68" i="8"/>
  <c r="D68" i="8"/>
  <c r="S43" i="8"/>
  <c r="S90" i="8" s="1"/>
  <c r="L43" i="8"/>
  <c r="D31" i="12"/>
  <c r="E93" i="10"/>
  <c r="E94" i="10" s="1"/>
  <c r="E31" i="12"/>
  <c r="O13" i="11"/>
  <c r="O14" i="11"/>
  <c r="W77" i="8"/>
  <c r="AH77" i="8" s="1"/>
  <c r="O17" i="11"/>
  <c r="O16" i="11"/>
  <c r="I12" i="17"/>
  <c r="C13" i="17"/>
  <c r="I48" i="17"/>
  <c r="D12" i="17"/>
  <c r="I47" i="17"/>
  <c r="I53" i="17"/>
  <c r="I52" i="17"/>
  <c r="C85" i="8"/>
  <c r="L56" i="4"/>
  <c r="L57" i="4"/>
  <c r="M71" i="4"/>
  <c r="D68" i="4"/>
  <c r="F17" i="4"/>
  <c r="F31" i="12"/>
  <c r="C64" i="7"/>
  <c r="C66" i="7" s="1"/>
  <c r="O27" i="11"/>
  <c r="O23" i="11"/>
  <c r="O32" i="11"/>
  <c r="M86" i="10"/>
  <c r="M101" i="10" s="1"/>
  <c r="K14" i="12"/>
  <c r="K13" i="12"/>
  <c r="M44" i="10"/>
  <c r="W51" i="8"/>
  <c r="AH51" i="8" s="1"/>
  <c r="M58" i="10"/>
  <c r="O22" i="11"/>
  <c r="O24" i="11"/>
  <c r="E68" i="8"/>
  <c r="E90" i="8" s="1"/>
  <c r="W58" i="8"/>
  <c r="W67" i="8" s="1"/>
  <c r="AH67" i="8" s="1"/>
  <c r="E31" i="10"/>
  <c r="E40" i="10" s="1"/>
  <c r="E43" i="10" s="1"/>
  <c r="M31" i="10"/>
  <c r="I85" i="8"/>
  <c r="AH75" i="8"/>
  <c r="F85" i="8"/>
  <c r="AE79" i="8" s="1"/>
  <c r="Z42" i="9"/>
  <c r="AA42" i="9"/>
  <c r="X31" i="9"/>
  <c r="X40" i="9" s="1"/>
  <c r="G27" i="12"/>
  <c r="M81" i="4"/>
  <c r="I117" i="8"/>
  <c r="N81" i="4"/>
  <c r="D32" i="4"/>
  <c r="M32" i="4" s="1"/>
  <c r="L109" i="8"/>
  <c r="I68" i="8"/>
  <c r="I90" i="8" s="1"/>
  <c r="Y42" i="9"/>
  <c r="H18" i="12"/>
  <c r="K18" i="12" s="1"/>
  <c r="S109" i="8"/>
  <c r="D85" i="8"/>
  <c r="D90" i="8" s="1"/>
  <c r="D110" i="8" s="1"/>
  <c r="D113" i="8" s="1"/>
  <c r="V68" i="8"/>
  <c r="N68" i="8"/>
  <c r="N90" i="8" s="1"/>
  <c r="W37" i="8"/>
  <c r="AH37" i="8" s="1"/>
  <c r="AH43" i="8" s="1"/>
  <c r="AB42" i="9"/>
  <c r="D18" i="4"/>
  <c r="E64" i="7"/>
  <c r="E66" i="7" s="1"/>
  <c r="E109" i="8"/>
  <c r="V85" i="8"/>
  <c r="T68" i="8"/>
  <c r="T90" i="8" s="1"/>
  <c r="T110" i="8" s="1"/>
  <c r="T113" i="8" s="1"/>
  <c r="H68" i="8"/>
  <c r="H90" i="8" s="1"/>
  <c r="H110" i="8" s="1"/>
  <c r="H113" i="8" s="1"/>
  <c r="C68" i="8"/>
  <c r="R43" i="8"/>
  <c r="R90" i="8" s="1"/>
  <c r="R110" i="8" s="1"/>
  <c r="R113" i="8" s="1"/>
  <c r="J43" i="8"/>
  <c r="C109" i="8"/>
  <c r="M85" i="8"/>
  <c r="M90" i="8" s="1"/>
  <c r="M110" i="8" s="1"/>
  <c r="M113" i="8" s="1"/>
  <c r="C40" i="9"/>
  <c r="M38" i="9"/>
  <c r="M40" i="9" s="1"/>
  <c r="F66" i="7"/>
  <c r="N40" i="9"/>
  <c r="D64" i="7"/>
  <c r="D66" i="7" s="1"/>
  <c r="N109" i="8"/>
  <c r="AH88" i="8"/>
  <c r="W89" i="8"/>
  <c r="AH89" i="8" s="1"/>
  <c r="I109" i="8"/>
  <c r="AH95" i="8"/>
  <c r="AH97" i="8" s="1"/>
  <c r="W97" i="8"/>
  <c r="C57" i="11"/>
  <c r="W83" i="8"/>
  <c r="AH108" i="8"/>
  <c r="AH102" i="8"/>
  <c r="W30" i="8"/>
  <c r="W43" i="8" l="1"/>
  <c r="L90" i="8"/>
  <c r="L110" i="8" s="1"/>
  <c r="I54" i="17"/>
  <c r="G90" i="8"/>
  <c r="G110" i="8" s="1"/>
  <c r="G113" i="8" s="1"/>
  <c r="C16" i="17"/>
  <c r="I49" i="17" s="1"/>
  <c r="I13" i="17"/>
  <c r="E110" i="8"/>
  <c r="E113" i="8" s="1"/>
  <c r="S110" i="8"/>
  <c r="S113" i="8" s="1"/>
  <c r="J90" i="8"/>
  <c r="J110" i="8" s="1"/>
  <c r="J113" i="8" s="1"/>
  <c r="V90" i="8"/>
  <c r="V110" i="8" s="1"/>
  <c r="F90" i="8"/>
  <c r="F110" i="8" s="1"/>
  <c r="F113" i="8" s="1"/>
  <c r="C90" i="8"/>
  <c r="C110" i="8" s="1"/>
  <c r="C113" i="8" s="1"/>
  <c r="N110" i="8"/>
  <c r="N113" i="8" s="1"/>
  <c r="I119" i="8" s="1"/>
  <c r="I120" i="8" s="1"/>
  <c r="W109" i="8"/>
  <c r="AH109" i="8" s="1"/>
  <c r="W68" i="8"/>
  <c r="J12" i="17"/>
  <c r="D13" i="17"/>
  <c r="J47" i="17"/>
  <c r="J48" i="17"/>
  <c r="X41" i="9"/>
  <c r="AH58" i="8"/>
  <c r="AH68" i="8" s="1"/>
  <c r="D33" i="4"/>
  <c r="AH83" i="8"/>
  <c r="AH85" i="8" s="1"/>
  <c r="W85" i="8"/>
  <c r="I110" i="8"/>
  <c r="I113" i="8" s="1"/>
  <c r="AH30" i="8"/>
  <c r="L113" i="8"/>
  <c r="W90" i="8" l="1"/>
  <c r="P116" i="8"/>
  <c r="I16" i="17"/>
  <c r="C18" i="17"/>
  <c r="C30" i="17" s="1"/>
  <c r="D16" i="17"/>
  <c r="J16" i="17" s="1"/>
  <c r="J13" i="17"/>
  <c r="W110" i="8"/>
  <c r="AE92" i="8"/>
  <c r="AH90" i="8"/>
  <c r="AH110" i="8" s="1"/>
  <c r="P82" i="8"/>
  <c r="D39" i="10"/>
  <c r="P40" i="8"/>
  <c r="P28" i="8"/>
  <c r="P84" i="8"/>
  <c r="P101" i="8"/>
  <c r="P64" i="8"/>
  <c r="P74" i="8"/>
  <c r="P26" i="8"/>
  <c r="P81" i="8"/>
  <c r="P80" i="8"/>
  <c r="P27" i="8"/>
  <c r="P21" i="8"/>
  <c r="P15" i="8"/>
  <c r="P79" i="8"/>
  <c r="P94" i="8"/>
  <c r="P47" i="8"/>
  <c r="C8" i="10" s="1"/>
  <c r="D11" i="10" s="1"/>
  <c r="P71" i="8"/>
  <c r="P65" i="8"/>
  <c r="P95" i="8"/>
  <c r="P24" i="8"/>
  <c r="P29" i="8"/>
  <c r="P76" i="8"/>
  <c r="P105" i="8"/>
  <c r="P50" i="8"/>
  <c r="P23" i="8"/>
  <c r="P63" i="8"/>
  <c r="P16" i="8"/>
  <c r="P49" i="8"/>
  <c r="O83" i="8"/>
  <c r="P20" i="8"/>
  <c r="P96" i="8"/>
  <c r="P36" i="8"/>
  <c r="P14" i="8"/>
  <c r="P100" i="8"/>
  <c r="P107" i="8"/>
  <c r="P41" i="8"/>
  <c r="P34" i="8"/>
  <c r="P66" i="8"/>
  <c r="P35" i="8"/>
  <c r="P25" i="8"/>
  <c r="P48" i="8"/>
  <c r="P88" i="8"/>
  <c r="Z88" i="8" s="1"/>
  <c r="P22" i="8"/>
  <c r="P106" i="8"/>
  <c r="V112" i="8"/>
  <c r="P60" i="8" l="1"/>
  <c r="D92" i="10"/>
  <c r="P57" i="8"/>
  <c r="D80" i="10"/>
  <c r="P56" i="8"/>
  <c r="D66" i="10"/>
  <c r="P61" i="8"/>
  <c r="D101" i="10"/>
  <c r="P55" i="8"/>
  <c r="D52" i="10"/>
  <c r="P54" i="8"/>
  <c r="J49" i="17"/>
  <c r="D18" i="17"/>
  <c r="E41" i="4" s="1"/>
  <c r="D41" i="4"/>
  <c r="D43" i="4" s="1"/>
  <c r="M72" i="4" s="1"/>
  <c r="I19" i="17"/>
  <c r="I50" i="17"/>
  <c r="C36" i="17"/>
  <c r="C39" i="17" s="1"/>
  <c r="C43" i="17" s="1"/>
  <c r="I30" i="17"/>
  <c r="P75" i="8"/>
  <c r="AA88" i="8"/>
  <c r="P87" i="8"/>
  <c r="Z87" i="8" s="1"/>
  <c r="O89" i="8"/>
  <c r="Z80" i="8"/>
  <c r="AA80" i="8"/>
  <c r="AC80" i="8" s="1"/>
  <c r="C21" i="12"/>
  <c r="P53" i="8"/>
  <c r="O58" i="8"/>
  <c r="O67" i="8" s="1"/>
  <c r="P13" i="8"/>
  <c r="O17" i="8"/>
  <c r="O108" i="8"/>
  <c r="P104" i="8"/>
  <c r="P39" i="8"/>
  <c r="O42" i="8"/>
  <c r="P42" i="8" s="1"/>
  <c r="C16" i="10"/>
  <c r="D19" i="10" s="1"/>
  <c r="O97" i="8"/>
  <c r="P93" i="8"/>
  <c r="AA81" i="8"/>
  <c r="Z81" i="8"/>
  <c r="C29" i="12"/>
  <c r="C44" i="10"/>
  <c r="C32" i="12"/>
  <c r="Z84" i="8"/>
  <c r="AA84" i="8"/>
  <c r="AC84" i="8" s="1"/>
  <c r="Z79" i="8"/>
  <c r="AA79" i="8"/>
  <c r="AC79" i="8" s="1"/>
  <c r="P83" i="8"/>
  <c r="C12" i="12"/>
  <c r="P99" i="8"/>
  <c r="O102" i="8"/>
  <c r="Z36" i="8"/>
  <c r="AA36" i="8"/>
  <c r="P73" i="8"/>
  <c r="O77" i="8"/>
  <c r="O85" i="8" s="1"/>
  <c r="P46" i="8"/>
  <c r="O51" i="8"/>
  <c r="C86" i="10"/>
  <c r="D90" i="10" s="1"/>
  <c r="O30" i="8"/>
  <c r="P19" i="8"/>
  <c r="Z82" i="8"/>
  <c r="AA82" i="8"/>
  <c r="AC82" i="8" s="1"/>
  <c r="C30" i="12"/>
  <c r="W112" i="8"/>
  <c r="W113" i="8" s="1"/>
  <c r="V113" i="8"/>
  <c r="W116" i="8" s="1"/>
  <c r="P33" i="8"/>
  <c r="O37" i="8"/>
  <c r="Z76" i="8"/>
  <c r="AA76" i="8"/>
  <c r="AC76" i="8" s="1"/>
  <c r="C21" i="11"/>
  <c r="AA74" i="8"/>
  <c r="AC74" i="8" s="1"/>
  <c r="Z74" i="8"/>
  <c r="P70" i="8"/>
  <c r="M73" i="4" l="1"/>
  <c r="D50" i="10"/>
  <c r="D48" i="10"/>
  <c r="C53" i="10"/>
  <c r="C57" i="10" s="1"/>
  <c r="C93" i="10"/>
  <c r="C94" i="10" s="1"/>
  <c r="C58" i="10"/>
  <c r="C31" i="10"/>
  <c r="J50" i="17"/>
  <c r="J19" i="17"/>
  <c r="M43" i="4"/>
  <c r="C95" i="10"/>
  <c r="D99" i="10" s="1"/>
  <c r="C72" i="10"/>
  <c r="I43" i="17"/>
  <c r="I39" i="17"/>
  <c r="AC88" i="8"/>
  <c r="AA75" i="8"/>
  <c r="C31" i="11"/>
  <c r="Z75" i="8"/>
  <c r="O43" i="8"/>
  <c r="O68" i="8"/>
  <c r="H30" i="12"/>
  <c r="K30" i="12" s="1"/>
  <c r="P30" i="8"/>
  <c r="P51" i="8"/>
  <c r="Z73" i="8"/>
  <c r="AA73" i="8"/>
  <c r="P77" i="8"/>
  <c r="P85" i="8" s="1"/>
  <c r="C12" i="11"/>
  <c r="AC36" i="8"/>
  <c r="H29" i="12"/>
  <c r="K29" i="12" s="1"/>
  <c r="P97" i="8"/>
  <c r="AA87" i="8"/>
  <c r="P89" i="8"/>
  <c r="P37" i="8"/>
  <c r="P102" i="8"/>
  <c r="C31" i="12"/>
  <c r="H12" i="12"/>
  <c r="K12" i="12" s="1"/>
  <c r="O109" i="8"/>
  <c r="Z42" i="8"/>
  <c r="AA42" i="8"/>
  <c r="P17" i="8"/>
  <c r="P58" i="8"/>
  <c r="C24" i="10"/>
  <c r="D27" i="10" s="1"/>
  <c r="K21" i="11"/>
  <c r="L21" i="11"/>
  <c r="W121" i="8"/>
  <c r="C9" i="10"/>
  <c r="M9" i="10" s="1"/>
  <c r="AA83" i="8"/>
  <c r="Z83" i="8"/>
  <c r="H32" i="12"/>
  <c r="AC81" i="8"/>
  <c r="C17" i="10"/>
  <c r="M17" i="10" s="1"/>
  <c r="P108" i="8"/>
  <c r="H21" i="12"/>
  <c r="K21" i="12" s="1"/>
  <c r="AC83" i="8" l="1"/>
  <c r="AE86" i="8"/>
  <c r="AE83" i="8"/>
  <c r="AE84" i="8"/>
  <c r="M18" i="10"/>
  <c r="M23" i="10"/>
  <c r="D62" i="10"/>
  <c r="D64" i="10"/>
  <c r="D76" i="10"/>
  <c r="D78" i="10"/>
  <c r="D35" i="10"/>
  <c r="D37" i="10"/>
  <c r="C81" i="10"/>
  <c r="C85" i="10" s="1"/>
  <c r="C67" i="10"/>
  <c r="C71" i="10" s="1"/>
  <c r="C102" i="10"/>
  <c r="C103" i="10" s="1"/>
  <c r="C40" i="10"/>
  <c r="C43" i="10" s="1"/>
  <c r="M15" i="10"/>
  <c r="M10" i="10"/>
  <c r="AC78" i="8"/>
  <c r="AC75" i="8"/>
  <c r="K32" i="12"/>
  <c r="L31" i="11"/>
  <c r="AC87" i="8"/>
  <c r="K31" i="11"/>
  <c r="O31" i="11" s="1"/>
  <c r="O90" i="8"/>
  <c r="O110" i="8" s="1"/>
  <c r="O113" i="8" s="1"/>
  <c r="P117" i="8" s="1"/>
  <c r="E43" i="4"/>
  <c r="Z89" i="8"/>
  <c r="AA89" i="8"/>
  <c r="C25" i="10"/>
  <c r="M25" i="10" s="1"/>
  <c r="K12" i="11"/>
  <c r="L12" i="11"/>
  <c r="AC42" i="8"/>
  <c r="Z37" i="8"/>
  <c r="P43" i="8"/>
  <c r="P109" i="8"/>
  <c r="Z77" i="8"/>
  <c r="Z30" i="8"/>
  <c r="AA30" i="8"/>
  <c r="Z17" i="8"/>
  <c r="H31" i="12"/>
  <c r="K31" i="12" s="1"/>
  <c r="AE72" i="8"/>
  <c r="AC73" i="8"/>
  <c r="P67" i="8"/>
  <c r="P68" i="8" s="1"/>
  <c r="Z51" i="8"/>
  <c r="M26" i="10" l="1"/>
  <c r="E69" i="4"/>
  <c r="N73" i="4"/>
  <c r="N72" i="4"/>
  <c r="N43" i="4"/>
  <c r="AA37" i="8"/>
  <c r="AA77" i="8"/>
  <c r="AE74" i="8"/>
  <c r="Z67" i="8"/>
  <c r="AA67" i="8"/>
  <c r="AA17" i="8"/>
  <c r="AC89" i="8"/>
  <c r="AE30" i="8"/>
  <c r="AE31" i="8"/>
  <c r="AC30" i="8"/>
  <c r="AA51" i="8"/>
  <c r="P90" i="8"/>
  <c r="AA109" i="8"/>
  <c r="Z109" i="8"/>
  <c r="AC37" i="8" l="1"/>
  <c r="P110" i="8"/>
  <c r="Z90" i="8"/>
  <c r="Z110" i="8" s="1"/>
  <c r="AC17" i="8"/>
  <c r="AA90" i="8"/>
  <c r="AE85" i="8" s="1"/>
  <c r="AC77" i="8"/>
  <c r="AE78" i="8"/>
  <c r="AE77" i="8"/>
  <c r="AC67" i="8"/>
  <c r="AE67" i="8"/>
  <c r="AE68" i="8"/>
  <c r="AE51" i="8"/>
  <c r="AE52" i="8"/>
  <c r="AC51" i="8"/>
  <c r="AE109" i="8"/>
  <c r="AE110" i="8"/>
  <c r="AC109" i="8"/>
  <c r="P124" i="8" l="1"/>
  <c r="P113" i="8"/>
  <c r="AC90" i="8"/>
  <c r="AE90" i="8"/>
  <c r="AE91" i="8"/>
  <c r="AA110" i="8"/>
  <c r="AE93" i="8"/>
  <c r="P303" i="8" l="1"/>
  <c r="D69" i="4"/>
</calcChain>
</file>

<file path=xl/sharedStrings.xml><?xml version="1.0" encoding="utf-8"?>
<sst xmlns="http://schemas.openxmlformats.org/spreadsheetml/2006/main" count="1588" uniqueCount="1220">
  <si>
    <t>i kommunens koncernföretag</t>
  </si>
  <si>
    <t>hos kommunens koncernföretag</t>
  </si>
  <si>
    <t xml:space="preserve">Kortfristiga skulder till koncernföretag </t>
  </si>
  <si>
    <t>Lev.skulder till kommunens koncernf.</t>
  </si>
  <si>
    <t>135</t>
  </si>
  <si>
    <t>Förvaltningsavgifter</t>
  </si>
  <si>
    <t>139</t>
  </si>
  <si>
    <t>13 (ej 139)</t>
  </si>
  <si>
    <t>10-13 (ej 139)</t>
  </si>
  <si>
    <t>FINANSIELLA INTÄKTER ENL RR</t>
  </si>
  <si>
    <t>FINANSIELLA KOSTNADER ENL RR</t>
  </si>
  <si>
    <t xml:space="preserve">Obligationer, förlagsbevis m.m. samt certifikat </t>
  </si>
  <si>
    <t>Personalens källskatt</t>
  </si>
  <si>
    <t>298</t>
  </si>
  <si>
    <t>Förutbetalda skatteintäkter</t>
  </si>
  <si>
    <t>Verksamhetsblock/-områden</t>
  </si>
  <si>
    <t>EGENTLIG VERKSAMHET</t>
  </si>
  <si>
    <t>Politisk verksamhet, totalt</t>
  </si>
  <si>
    <t>Parker</t>
  </si>
  <si>
    <t>Räddningstjänst</t>
  </si>
  <si>
    <t>Övrig utbildning</t>
  </si>
  <si>
    <t>Utbildning, totalt</t>
  </si>
  <si>
    <t>SUMMA EGENTLIG VERKSAMHET</t>
  </si>
  <si>
    <t>Hamnverksamhet</t>
  </si>
  <si>
    <t>Kommersiell verksamhet</t>
  </si>
  <si>
    <t>Bostadsverksamhet</t>
  </si>
  <si>
    <t>Näringsliv och bostäder, totalt</t>
  </si>
  <si>
    <t>Sjötrafik</t>
  </si>
  <si>
    <t>Kommunikationer, totalt</t>
  </si>
  <si>
    <t>Fjärrvärmeförsörjning</t>
  </si>
  <si>
    <t>Vattenförsörjning och avloppshantering</t>
  </si>
  <si>
    <t>Avfallshantering</t>
  </si>
  <si>
    <t>SUMMA AFFÄRSVERKSAMHET</t>
  </si>
  <si>
    <t>Gemensamma lokaler</t>
  </si>
  <si>
    <t>Gemensamma verksamheter</t>
  </si>
  <si>
    <t>TOTALSUMMA</t>
  </si>
  <si>
    <t>Personalkostnader</t>
  </si>
  <si>
    <t xml:space="preserve">Externa varor, tjänster och bidrag  </t>
  </si>
  <si>
    <t>Lokal- och anläggningskostnader</t>
  </si>
  <si>
    <t>Externa intäkter</t>
  </si>
  <si>
    <t xml:space="preserve">Interna </t>
  </si>
  <si>
    <t>BRUTTO-</t>
  </si>
  <si>
    <t>intäkter</t>
  </si>
  <si>
    <t>KOSTNAD</t>
  </si>
  <si>
    <t>kostnad</t>
  </si>
  <si>
    <t>[45]</t>
  </si>
  <si>
    <t>[601]</t>
  </si>
  <si>
    <t>[341]</t>
  </si>
  <si>
    <t>Block 1. POLITISK VERKSAMHET</t>
  </si>
  <si>
    <t>Nämnd- och styrelseverksamhet</t>
  </si>
  <si>
    <t>Kommentarer politisk verksamhet:</t>
  </si>
  <si>
    <t>Stöd till politiska partier</t>
  </si>
  <si>
    <t>Revision</t>
  </si>
  <si>
    <t xml:space="preserve">Övrig politisk verksamhet </t>
  </si>
  <si>
    <t>POLITISK VERKSAMHET, TOTALT</t>
  </si>
  <si>
    <t>Block 2. INFRASTRUKTUR, SKYDD mm</t>
  </si>
  <si>
    <t>Fysisk o.teknisk planering, bostadsförbättr.</t>
  </si>
  <si>
    <t>Näringslivsfrämjande åtgärder</t>
  </si>
  <si>
    <t>Konsument- och energirådgivning</t>
  </si>
  <si>
    <t>Turistverksamhet</t>
  </si>
  <si>
    <t>Beskrivning av nyckeltalen</t>
  </si>
  <si>
    <t>Miljö- och hälsoskydd, myndighetsutövning</t>
  </si>
  <si>
    <t>Miljö- hälsa och hållbar utveckling</t>
  </si>
  <si>
    <t>Alkoholtillstånd m.m.</t>
  </si>
  <si>
    <t xml:space="preserve">Totalförsvar och samhällsskydd  </t>
  </si>
  <si>
    <t>INFRASTRUKTUR, SKYDD mm TOTALT</t>
  </si>
  <si>
    <t>Block 3.  KULTUR OCH FRITID</t>
  </si>
  <si>
    <t>Kulturverksamhet</t>
  </si>
  <si>
    <t>Stöd till studieorganisationer</t>
  </si>
  <si>
    <t>Allmän kulturverksamhet, övrigt</t>
  </si>
  <si>
    <t>Bibliotek</t>
  </si>
  <si>
    <t>Musikskola / kulturskola</t>
  </si>
  <si>
    <t>Kulturverksamhet totalt</t>
  </si>
  <si>
    <t>Fritidsverksamhet</t>
  </si>
  <si>
    <t>Allmän fritidsverksamhet</t>
  </si>
  <si>
    <t>Idrotts- och fritidsanläggningar</t>
  </si>
  <si>
    <t>Fritidsgårdar</t>
  </si>
  <si>
    <t>Fritidsverksamhet, totalt</t>
  </si>
  <si>
    <t xml:space="preserve"> KULTUR OCH FRITID, TOTALT</t>
  </si>
  <si>
    <t>Block 4. PEDAGOGISK VERKSAMHET</t>
  </si>
  <si>
    <t>Öppen förskola</t>
  </si>
  <si>
    <t>Förskola</t>
  </si>
  <si>
    <t>Pedagogisk omsorg</t>
  </si>
  <si>
    <t>Öppen fritidsverksamhet</t>
  </si>
  <si>
    <t>Fritidshem</t>
  </si>
  <si>
    <t>Skolväsendet för barn- o ungdom</t>
  </si>
  <si>
    <t>Gymnasieskola</t>
  </si>
  <si>
    <t xml:space="preserve">Gymnasiesärskola </t>
  </si>
  <si>
    <t>Skolväsendet för barn o ungdom totalt</t>
  </si>
  <si>
    <t>Kommunal vuxenutbildning</t>
  </si>
  <si>
    <t>Högskoleutbildning m.m.</t>
  </si>
  <si>
    <t>Verksamhetens kostnad enligt RR</t>
  </si>
  <si>
    <t>Verksamhetens intäkter enl. RR</t>
  </si>
  <si>
    <t>Verksamhetens kostnader enl. RR</t>
  </si>
  <si>
    <t>Verksamhetens intäkter enl.RR</t>
  </si>
  <si>
    <t xml:space="preserve">Svenska för invandrare </t>
  </si>
  <si>
    <t>Utbildning inkl. förskoleklass</t>
  </si>
  <si>
    <t>PEDAGOGISK VERKSAMH., TOTALT</t>
  </si>
  <si>
    <t>Block 5. VÅRD O OMSORG</t>
  </si>
  <si>
    <t>Primärvård</t>
  </si>
  <si>
    <t>Hälso- och sjukvård, övrigt exkl. hemsjukvård</t>
  </si>
  <si>
    <t xml:space="preserve">Vård, omsorg: äldre och personer med funktionsnedsättning </t>
  </si>
  <si>
    <t>Färdtjänst/riksfärdtjänst</t>
  </si>
  <si>
    <t>Öppen verksamhet</t>
  </si>
  <si>
    <t>VoO: äldre, personer m.funktionsneds., tot.</t>
  </si>
  <si>
    <t xml:space="preserve">Individ- och familjeomsorg               </t>
  </si>
  <si>
    <t>Barn och ungdomsvård</t>
  </si>
  <si>
    <t>Ekonomiskt bistånd</t>
  </si>
  <si>
    <t xml:space="preserve">Individ- och familjeomsorg, totalt </t>
  </si>
  <si>
    <t>Familjerätt och familjerådgivning</t>
  </si>
  <si>
    <t>VÅRD OCH OMSORG, TOTALT</t>
  </si>
  <si>
    <t>Block 6. SÄRSKILT RIKTADE INSATSER</t>
  </si>
  <si>
    <r>
      <t>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</si>
  <si>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t>Flyktingmottagande</t>
  </si>
  <si>
    <t xml:space="preserve">Arbetsmarknadsåtgärder </t>
  </si>
  <si>
    <t>SÄRSKILT RIKTADE INSATSER,TOTALT</t>
  </si>
  <si>
    <t>AFFÄRSVERKSAMHET</t>
  </si>
  <si>
    <t>Näringsliv och bostäder</t>
  </si>
  <si>
    <t>Arbetsområden och lokaler</t>
  </si>
  <si>
    <t>Kommunikationer</t>
  </si>
  <si>
    <t>Flygtrafik</t>
  </si>
  <si>
    <t>Energi, vatten och avfall</t>
  </si>
  <si>
    <t>Elförsörjning + gasförsörjning</t>
  </si>
  <si>
    <t>Energi, vatten och avfall, totalt</t>
  </si>
  <si>
    <t>SUMMA DRIFTVERKSAMHET</t>
  </si>
  <si>
    <t>Nettokostnad gemensamma verksamheter</t>
  </si>
  <si>
    <t>Kommuner</t>
  </si>
  <si>
    <t>Kommunal-</t>
  </si>
  <si>
    <t>Staten och</t>
  </si>
  <si>
    <t>Differens</t>
  </si>
  <si>
    <t xml:space="preserve"> stiftelser</t>
  </si>
  <si>
    <t>företag</t>
  </si>
  <si>
    <t>förbund</t>
  </si>
  <si>
    <t>statl.myndigh.</t>
  </si>
  <si>
    <t>[358]</t>
  </si>
  <si>
    <t xml:space="preserve">Fritidsverksamhet, totalt  </t>
  </si>
  <si>
    <t xml:space="preserve">Gymnasieskola </t>
  </si>
  <si>
    <t xml:space="preserve">Gymnasiesärskola  </t>
  </si>
  <si>
    <t xml:space="preserve"> därav  inst. vård för vuxna med missbruksprob.</t>
  </si>
  <si>
    <t>Övrig Ifo + fam.rätt (rad 571+ 575+585)</t>
  </si>
  <si>
    <t>Arbetsmarknadsåtgärder</t>
  </si>
  <si>
    <t>Summa affärsverksamhet</t>
  </si>
  <si>
    <t>Gemensam verksamhet (inkl. lokaler)</t>
  </si>
  <si>
    <t>Brutto-</t>
  </si>
  <si>
    <t>Nyckeltal</t>
  </si>
  <si>
    <t xml:space="preserve">Interna kostnader </t>
  </si>
  <si>
    <t xml:space="preserve">Fördelning av gemensamma verksamheter </t>
  </si>
  <si>
    <t>Interna intäkter</t>
  </si>
  <si>
    <t>Balanskravsresultat</t>
  </si>
  <si>
    <t>Årets resultat enligt resultaträkningen</t>
  </si>
  <si>
    <t>intäkt</t>
  </si>
  <si>
    <t>Infrastruktur, skydd mm totalt</t>
  </si>
  <si>
    <t>Utlandet</t>
  </si>
  <si>
    <t>-/+ Nedskrivningar/återföring av nedskrivning</t>
  </si>
  <si>
    <t>Anhörigbidrag</t>
  </si>
  <si>
    <t>Sjuklön</t>
  </si>
  <si>
    <t>Vatten och avlopp</t>
  </si>
  <si>
    <t>Öppen förskola och öppen fritidsverksamhet</t>
  </si>
  <si>
    <t>Summa vård och omsorg om äldre</t>
  </si>
  <si>
    <t>Daglig verksamhet enligt LSS</t>
  </si>
  <si>
    <t>Övriga insatser enligt LSS</t>
  </si>
  <si>
    <t>Öppna insatser, individuellt behovsprövad öppen vård</t>
  </si>
  <si>
    <t>Öppna insatser, bistånd som avser boende</t>
  </si>
  <si>
    <t>Öppna insatser, övriga</t>
  </si>
  <si>
    <r>
      <t xml:space="preserve">Konto </t>
    </r>
    <r>
      <rPr>
        <b/>
        <sz val="8"/>
        <rFont val="Helvetica"/>
        <family val="2"/>
      </rPr>
      <t>[354]</t>
    </r>
    <r>
      <rPr>
        <sz val="8"/>
        <rFont val="Helvetica"/>
        <family val="2"/>
      </rPr>
      <t xml:space="preserve"> kommunens ersättning </t>
    </r>
    <r>
      <rPr>
        <b/>
        <sz val="8"/>
        <rFont val="Helvetica"/>
        <family val="2"/>
      </rPr>
      <t>från</t>
    </r>
    <r>
      <rPr>
        <sz val="8"/>
        <rFont val="Helvetica"/>
        <family val="2"/>
      </rPr>
      <t xml:space="preserve"> Försäkringskassan för personlig assistent enligt SFB, tkr</t>
    </r>
  </si>
  <si>
    <r>
      <t xml:space="preserve">Konto </t>
    </r>
    <r>
      <rPr>
        <b/>
        <sz val="8"/>
        <rFont val="Helvetica"/>
        <family val="2"/>
      </rPr>
      <t>[4538]</t>
    </r>
    <r>
      <rPr>
        <sz val="8"/>
        <rFont val="Helvetica"/>
        <family val="2"/>
      </rPr>
      <t xml:space="preserve"> kommunens ersättning</t>
    </r>
    <r>
      <rPr>
        <b/>
        <sz val="8"/>
        <rFont val="Helvetica"/>
        <family val="2"/>
      </rPr>
      <t xml:space="preserve"> till</t>
    </r>
    <r>
      <rPr>
        <sz val="8"/>
        <rFont val="Helvetica"/>
        <family val="2"/>
      </rPr>
      <t xml:space="preserve"> Försäkringskassan för personlig assistent enligt  SFB, tkr</t>
    </r>
  </si>
  <si>
    <t>Familjehemsvård för barn och unga</t>
  </si>
  <si>
    <t>Summa barn- och ungdomsvård</t>
  </si>
  <si>
    <t>Övriga insatser till vuxna</t>
  </si>
  <si>
    <t>Familjerätt</t>
  </si>
  <si>
    <t>Familjerådgivning</t>
  </si>
  <si>
    <t>Summa individ- och familjeomsorg</t>
  </si>
  <si>
    <t>Därav</t>
  </si>
  <si>
    <t>inventarier</t>
  </si>
  <si>
    <t>tekn.anläggn.</t>
  </si>
  <si>
    <t>Näringsl.främj.åtg, turistv.o konsum.-ener.rådg</t>
  </si>
  <si>
    <t>17 [ej 178]</t>
  </si>
  <si>
    <t>Miljö- och hälsoskydd och alkoholtillstånd</t>
  </si>
  <si>
    <t>Totalförsvar och samhällsskydd</t>
  </si>
  <si>
    <t>Infrastruktur, skydd m.m. totalt</t>
  </si>
  <si>
    <t>Kultur och fritid, totalt</t>
  </si>
  <si>
    <r>
      <t>Utbildning</t>
    </r>
    <r>
      <rPr>
        <sz val="7"/>
        <rFont val="Helvetica"/>
        <family val="2"/>
      </rPr>
      <t xml:space="preserve">                                            </t>
    </r>
  </si>
  <si>
    <t>Gymnasieskola inkl gymnasiesärskola</t>
  </si>
  <si>
    <t>Pedagogisk verksamhet, totalt</t>
  </si>
  <si>
    <r>
      <t xml:space="preserve">Vård och omsorg </t>
    </r>
    <r>
      <rPr>
        <sz val="7"/>
        <rFont val="Helvetica"/>
        <family val="2"/>
      </rPr>
      <t xml:space="preserve">                                    
Primärvård</t>
    </r>
  </si>
  <si>
    <t>Individ o familjeomsorg totalt, familjerätt</t>
  </si>
  <si>
    <t xml:space="preserve">Vård och omsorg, totalt                                    </t>
  </si>
  <si>
    <t>Särskilt riktade insatser, totalt</t>
  </si>
  <si>
    <r>
      <t>Kommunikationer</t>
    </r>
    <r>
      <rPr>
        <sz val="7"/>
        <rFont val="Helvetica"/>
        <family val="2"/>
      </rPr>
      <t xml:space="preserve">                                                         Flygtrafik</t>
    </r>
  </si>
  <si>
    <r>
      <t>Energi, vatten och avfall</t>
    </r>
    <r>
      <rPr>
        <sz val="7"/>
        <rFont val="Helvetica"/>
        <family val="2"/>
      </rPr>
      <t xml:space="preserve">                                        
El- och gasförsörjning</t>
    </r>
  </si>
  <si>
    <t>Energi, vatten och avfall,totalt</t>
  </si>
  <si>
    <t>Ange kommunens kostnad för rådgivning och annat personligt stöd enl 9 § punkt 1 LSS, tkr</t>
  </si>
  <si>
    <t>Övriga tilläggsupplysningar</t>
  </si>
  <si>
    <t>EU-bidrag (driftbidrag)</t>
  </si>
  <si>
    <t>Löner</t>
  </si>
  <si>
    <t>Boende enl. LSS för vuxna</t>
  </si>
  <si>
    <t>ägda företag</t>
  </si>
  <si>
    <t>Föreningar,</t>
  </si>
  <si>
    <t>Privata</t>
  </si>
  <si>
    <t xml:space="preserve">Summa öppna insatser vuxna </t>
  </si>
  <si>
    <t>HVB-vård för barn och unga</t>
  </si>
  <si>
    <t>Vård för vuxna med missbruksproblem</t>
  </si>
  <si>
    <r>
      <t xml:space="preserve">Övriga </t>
    </r>
    <r>
      <rPr>
        <b/>
        <sz val="7"/>
        <rFont val="Helvetica"/>
        <family val="2"/>
      </rPr>
      <t/>
    </r>
  </si>
  <si>
    <t>Rad  nr</t>
  </si>
  <si>
    <t>Summa vård för vuxna med missbruksproblem</t>
  </si>
  <si>
    <t xml:space="preserve"> därav  HVB-vård för barn och unga</t>
  </si>
  <si>
    <t xml:space="preserve">Summa öppna insatser för barn och unga </t>
  </si>
  <si>
    <t>178</t>
  </si>
  <si>
    <t>Kalkylerad PO + Kalkylerad kapitalkostn.</t>
  </si>
  <si>
    <t>Interna kostnader</t>
  </si>
  <si>
    <t>Jämförelsestörande kostnader</t>
  </si>
  <si>
    <t>Jämförelsestörande intäkter</t>
  </si>
  <si>
    <t>100</t>
  </si>
  <si>
    <t>110</t>
  </si>
  <si>
    <t>120</t>
  </si>
  <si>
    <t>130</t>
  </si>
  <si>
    <t>190</t>
  </si>
  <si>
    <t>215</t>
  </si>
  <si>
    <t>220</t>
  </si>
  <si>
    <t>230</t>
  </si>
  <si>
    <t>249</t>
  </si>
  <si>
    <t>250</t>
  </si>
  <si>
    <t>261</t>
  </si>
  <si>
    <t>263</t>
  </si>
  <si>
    <t>267</t>
  </si>
  <si>
    <t>270</t>
  </si>
  <si>
    <t>275</t>
  </si>
  <si>
    <t>290</t>
  </si>
  <si>
    <t>310</t>
  </si>
  <si>
    <t>315</t>
  </si>
  <si>
    <t>320</t>
  </si>
  <si>
    <t>330</t>
  </si>
  <si>
    <t>339</t>
  </si>
  <si>
    <t>300</t>
  </si>
  <si>
    <t>340</t>
  </si>
  <si>
    <t>350</t>
  </si>
  <si>
    <t>359</t>
  </si>
  <si>
    <t>390</t>
  </si>
  <si>
    <t>400</t>
  </si>
  <si>
    <t>407</t>
  </si>
  <si>
    <t>412</t>
  </si>
  <si>
    <t>415</t>
  </si>
  <si>
    <t>425</t>
  </si>
  <si>
    <t>430</t>
  </si>
  <si>
    <t>443</t>
  </si>
  <si>
    <t>450</t>
  </si>
  <si>
    <t>453</t>
  </si>
  <si>
    <t>469</t>
  </si>
  <si>
    <t>474</t>
  </si>
  <si>
    <t>475</t>
  </si>
  <si>
    <t>476</t>
  </si>
  <si>
    <t>478</t>
  </si>
  <si>
    <t>480</t>
  </si>
  <si>
    <t>490</t>
  </si>
  <si>
    <t>500</t>
  </si>
  <si>
    <t>505</t>
  </si>
  <si>
    <t>513</t>
  </si>
  <si>
    <t>530</t>
  </si>
  <si>
    <t>600</t>
  </si>
  <si>
    <t>610</t>
  </si>
  <si>
    <t>690</t>
  </si>
  <si>
    <t>790</t>
  </si>
  <si>
    <t>800</t>
  </si>
  <si>
    <t>805</t>
  </si>
  <si>
    <t>810</t>
  </si>
  <si>
    <t>815</t>
  </si>
  <si>
    <t>820</t>
  </si>
  <si>
    <t>830</t>
  </si>
  <si>
    <t>832</t>
  </si>
  <si>
    <t>834</t>
  </si>
  <si>
    <t>840</t>
  </si>
  <si>
    <t>855</t>
  </si>
  <si>
    <t>860</t>
  </si>
  <si>
    <t>865</t>
  </si>
  <si>
    <t>870</t>
  </si>
  <si>
    <t>880</t>
  </si>
  <si>
    <t>890</t>
  </si>
  <si>
    <t>900</t>
  </si>
  <si>
    <t>910</t>
  </si>
  <si>
    <t>920</t>
  </si>
  <si>
    <t>950</t>
  </si>
  <si>
    <t>010</t>
  </si>
  <si>
    <t>020</t>
  </si>
  <si>
    <t>025</t>
  </si>
  <si>
    <t>030</t>
  </si>
  <si>
    <t>040</t>
  </si>
  <si>
    <t>050</t>
  </si>
  <si>
    <t>060</t>
  </si>
  <si>
    <t>070</t>
  </si>
  <si>
    <t>080</t>
  </si>
  <si>
    <t>015</t>
  </si>
  <si>
    <t>021</t>
  </si>
  <si>
    <t>023</t>
  </si>
  <si>
    <t>036</t>
  </si>
  <si>
    <t>037</t>
  </si>
  <si>
    <t>033</t>
  </si>
  <si>
    <t>032</t>
  </si>
  <si>
    <t>031</t>
  </si>
  <si>
    <t>034</t>
  </si>
  <si>
    <t>035</t>
  </si>
  <si>
    <t>039</t>
  </si>
  <si>
    <t>045</t>
  </si>
  <si>
    <t>046</t>
  </si>
  <si>
    <t>051</t>
  </si>
  <si>
    <t>055</t>
  </si>
  <si>
    <t>053</t>
  </si>
  <si>
    <t>054</t>
  </si>
  <si>
    <t>056</t>
  </si>
  <si>
    <t>065</t>
  </si>
  <si>
    <t>069</t>
  </si>
  <si>
    <t>999</t>
  </si>
  <si>
    <t>052</t>
  </si>
  <si>
    <t>066</t>
  </si>
  <si>
    <t>073</t>
  </si>
  <si>
    <t>074</t>
  </si>
  <si>
    <t>075</t>
  </si>
  <si>
    <t>076</t>
  </si>
  <si>
    <t>071</t>
  </si>
  <si>
    <t>077</t>
  </si>
  <si>
    <t>078</t>
  </si>
  <si>
    <t>079</t>
  </si>
  <si>
    <t>081</t>
  </si>
  <si>
    <t>082</t>
  </si>
  <si>
    <t>083</t>
  </si>
  <si>
    <t>084</t>
  </si>
  <si>
    <t>085</t>
  </si>
  <si>
    <t>089</t>
  </si>
  <si>
    <t>090</t>
  </si>
  <si>
    <t>086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</si>
  <si>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</si>
  <si>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</si>
  <si>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</si>
  <si>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</si>
  <si>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</si>
  <si>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</si>
  <si>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</si>
  <si>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</si>
  <si>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</si>
  <si>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107</t>
  </si>
  <si>
    <t>108</t>
  </si>
  <si>
    <t>121</t>
  </si>
  <si>
    <t>122</t>
  </si>
  <si>
    <t>140</t>
  </si>
  <si>
    <t>150</t>
  </si>
  <si>
    <t>160</t>
  </si>
  <si>
    <t>088</t>
  </si>
  <si>
    <t>101</t>
  </si>
  <si>
    <t>239</t>
  </si>
  <si>
    <t>269</t>
  </si>
  <si>
    <t>459</t>
  </si>
  <si>
    <t>479</t>
  </si>
  <si>
    <t>580</t>
  </si>
  <si>
    <t>590</t>
  </si>
  <si>
    <t>- Avskrivningar</t>
  </si>
  <si>
    <t>+/- Övriga förändringar</t>
  </si>
  <si>
    <t>990</t>
  </si>
  <si>
    <t>991</t>
  </si>
  <si>
    <t>992</t>
  </si>
  <si>
    <t>993</t>
  </si>
  <si>
    <t>994</t>
  </si>
  <si>
    <t>995</t>
  </si>
  <si>
    <t>Eget kapital, avsättningar och skulder</t>
  </si>
  <si>
    <t>Verksamhetens intäkter</t>
  </si>
  <si>
    <t>Verksamhetens kostnader</t>
  </si>
  <si>
    <t>Kommunal regi</t>
  </si>
  <si>
    <t>Förskola, personalkostnad andel av total kostnad kommunal regi.</t>
  </si>
  <si>
    <t>Övr periodiseringar</t>
  </si>
  <si>
    <t>Övriga insatser i ordinärt boende</t>
  </si>
  <si>
    <t>IB Anläggningstillgångar</t>
  </si>
  <si>
    <t>UB Anläggningstillgångar</t>
  </si>
  <si>
    <t>Insatser till personer med funktionsnedsättning (ej LSS/SFB)</t>
  </si>
  <si>
    <t>Insatser enligt LSS/SFB</t>
  </si>
  <si>
    <t>Fritidshem, personalkostnad andel av total kostnad kommunal regi.</t>
  </si>
  <si>
    <t>Förskoleklass, personalkostnad andel av total kostnad kommunal regi.</t>
  </si>
  <si>
    <t>Grundskola</t>
  </si>
  <si>
    <t>Grundläggande vuxenutbildning</t>
  </si>
  <si>
    <t>Gymnasial vuxen- och påbyggnadsutbildning</t>
  </si>
  <si>
    <t>251</t>
  </si>
  <si>
    <t>255</t>
  </si>
  <si>
    <t>257</t>
  </si>
  <si>
    <t>351</t>
  </si>
  <si>
    <t>355</t>
  </si>
  <si>
    <t>357</t>
  </si>
  <si>
    <t>35</t>
  </si>
  <si>
    <t>401</t>
  </si>
  <si>
    <t>402</t>
  </si>
  <si>
    <t>404</t>
  </si>
  <si>
    <t>405</t>
  </si>
  <si>
    <t>406</t>
  </si>
  <si>
    <t>408</t>
  </si>
  <si>
    <t>4081</t>
  </si>
  <si>
    <t>431</t>
  </si>
  <si>
    <t>435</t>
  </si>
  <si>
    <t>439</t>
  </si>
  <si>
    <t>07</t>
  </si>
  <si>
    <t>40</t>
  </si>
  <si>
    <t>43</t>
  </si>
  <si>
    <t>432</t>
  </si>
  <si>
    <t>434</t>
  </si>
  <si>
    <t>436</t>
  </si>
  <si>
    <t>437</t>
  </si>
  <si>
    <t>438</t>
  </si>
  <si>
    <t>4381</t>
  </si>
  <si>
    <t>50</t>
  </si>
  <si>
    <t>501</t>
  </si>
  <si>
    <t>502</t>
  </si>
  <si>
    <t>504</t>
  </si>
  <si>
    <t>506</t>
  </si>
  <si>
    <t>507</t>
  </si>
  <si>
    <t>508</t>
  </si>
  <si>
    <t>5081</t>
  </si>
  <si>
    <t>53</t>
  </si>
  <si>
    <t>531</t>
  </si>
  <si>
    <t>532</t>
  </si>
  <si>
    <t>534</t>
  </si>
  <si>
    <t>535</t>
  </si>
  <si>
    <t>536</t>
  </si>
  <si>
    <t>537</t>
  </si>
  <si>
    <t>538</t>
  </si>
  <si>
    <t>5381</t>
  </si>
  <si>
    <t>70</t>
  </si>
  <si>
    <t>701</t>
  </si>
  <si>
    <t>702</t>
  </si>
  <si>
    <t>706</t>
  </si>
  <si>
    <t>707</t>
  </si>
  <si>
    <t>708</t>
  </si>
  <si>
    <t>7081</t>
  </si>
  <si>
    <t>72</t>
  </si>
  <si>
    <t>721</t>
  </si>
  <si>
    <t>722</t>
  </si>
  <si>
    <t>726</t>
  </si>
  <si>
    <t>727</t>
  </si>
  <si>
    <t>728</t>
  </si>
  <si>
    <t>7281</t>
  </si>
  <si>
    <t>520</t>
  </si>
  <si>
    <t>510</t>
  </si>
  <si>
    <t>Hälso- o sjukvård, primärvård  (rad 500+505)</t>
  </si>
  <si>
    <t>Övrig utbildning (rad 475+476+478)</t>
  </si>
  <si>
    <t xml:space="preserve">Institutionsvård vuxna </t>
  </si>
  <si>
    <t>569</t>
  </si>
  <si>
    <t>559</t>
  </si>
  <si>
    <t>575</t>
  </si>
  <si>
    <t>571</t>
  </si>
  <si>
    <t xml:space="preserve">Korttidsboende </t>
  </si>
  <si>
    <t>Hemtjänst i ordinärt  boende</t>
  </si>
  <si>
    <t>Dagverksamhet,  ordinärt boende</t>
  </si>
  <si>
    <t>Hemtjänst i ordinärt boende</t>
  </si>
  <si>
    <t>Boendestöd i ordinärt boende</t>
  </si>
  <si>
    <t>585</t>
  </si>
  <si>
    <t>103</t>
  </si>
  <si>
    <t>Summering</t>
  </si>
  <si>
    <r>
      <t>Insatser enligt LSS/SFB</t>
    </r>
    <r>
      <rPr>
        <b/>
        <vertAlign val="superscript"/>
        <sz val="7"/>
        <rFont val="Helvetica"/>
        <family val="2"/>
      </rPr>
      <t>1</t>
    </r>
  </si>
  <si>
    <t xml:space="preserve">Insatser till personer med funktionneds. </t>
  </si>
  <si>
    <t>Övriga periodiseringar</t>
  </si>
  <si>
    <t>901</t>
  </si>
  <si>
    <t>Övrigt</t>
  </si>
  <si>
    <t>Verksamhet/skolform</t>
  </si>
  <si>
    <t/>
  </si>
  <si>
    <t>0799</t>
  </si>
  <si>
    <t>07991</t>
  </si>
  <si>
    <t>Därav avgifter för verksamhet i enskild regi</t>
  </si>
  <si>
    <t>Nyckeltal kr/inv</t>
  </si>
  <si>
    <t>Däravposter till kommunernas tillgångar</t>
  </si>
  <si>
    <t>Externa lokalhyror</t>
  </si>
  <si>
    <t>Interna köp och övriga interna kostnader</t>
  </si>
  <si>
    <t>Fördelad gemensam verksamhet</t>
  </si>
  <si>
    <t>Externa bostadshyror o lokalhyror</t>
  </si>
  <si>
    <t>Övriga externa intäkter</t>
  </si>
  <si>
    <t>Föreningar stiftelser</t>
  </si>
  <si>
    <t>Privata företag</t>
  </si>
  <si>
    <t>Staten och statl. myndigheter</t>
  </si>
  <si>
    <t>Driftbidrag från EU</t>
  </si>
  <si>
    <t>Markhyror och bidrag</t>
  </si>
  <si>
    <t>BRUTTO-KOSTNAD</t>
  </si>
  <si>
    <t>BRUTTO-INTÄKT</t>
  </si>
  <si>
    <t>Rad- nr</t>
  </si>
  <si>
    <t>440</t>
  </si>
  <si>
    <t>Förskoleklass</t>
  </si>
  <si>
    <t>Särskilt boende/annat boende</t>
  </si>
  <si>
    <t>Realiserade valutakursvinster</t>
  </si>
  <si>
    <t>986</t>
  </si>
  <si>
    <t>987</t>
  </si>
  <si>
    <t>988</t>
  </si>
  <si>
    <t>989</t>
  </si>
  <si>
    <t>470</t>
  </si>
  <si>
    <t>472</t>
  </si>
  <si>
    <t>Upplupna skatteintäkter</t>
  </si>
  <si>
    <t>Vård och omsorg om äldre</t>
  </si>
  <si>
    <t xml:space="preserve">Vård för vuxna med missbruksproblem </t>
  </si>
  <si>
    <t xml:space="preserve">Barn- och ungdomsvård </t>
  </si>
  <si>
    <t xml:space="preserve">Familjerätt och familjerådgivning </t>
  </si>
  <si>
    <t>Kommun-</t>
  </si>
  <si>
    <t>+ Reavinst</t>
  </si>
  <si>
    <t>Kommunägda företag</t>
  </si>
  <si>
    <t>Familjehemsvård för vuxna</t>
  </si>
  <si>
    <t xml:space="preserve"> Avgifter</t>
  </si>
  <si>
    <t>Kalkylerad personal-omkostnad</t>
  </si>
  <si>
    <t>Kalkylerade kapital-kostnader</t>
  </si>
  <si>
    <t>540</t>
  </si>
  <si>
    <t>519</t>
  </si>
  <si>
    <t>Insatser till personer med funktionsnedsättning totalt (inkl LSS)</t>
  </si>
  <si>
    <t>Från driftredovis-ningen</t>
  </si>
  <si>
    <t>Skolskjuts, reseersättning o inackordering</t>
  </si>
  <si>
    <t xml:space="preserve"> Fördelad gemensam verksamhet</t>
  </si>
  <si>
    <t>Undervisning</t>
  </si>
  <si>
    <t>Differens grundskolan</t>
  </si>
  <si>
    <t>Differens grundsärskolan</t>
  </si>
  <si>
    <t>Differens gymnasieskolan</t>
  </si>
  <si>
    <t>Differens gymnasiesärskolan</t>
  </si>
  <si>
    <t>Differens grundläggande vuxenutbildning</t>
  </si>
  <si>
    <t>Differens gymnasial vuxenutbildning</t>
  </si>
  <si>
    <t>Differens mot drift-  redovisningen</t>
  </si>
  <si>
    <t>Vård och omsorg om äldre (från motpart)</t>
  </si>
  <si>
    <t>inv 21-64 år</t>
  </si>
  <si>
    <t>Summa familjerätt och familjerådgivning</t>
  </si>
  <si>
    <t>inv 0-20 år</t>
  </si>
  <si>
    <t>invånare</t>
  </si>
  <si>
    <t>inv 0-17 år</t>
  </si>
  <si>
    <t>inv 18-69 år</t>
  </si>
  <si>
    <t>Finansiella nyckeltal</t>
  </si>
  <si>
    <t>Försäljn.av anl.tillg. i % av skatteintäkter, generella statsbidrag o utj.</t>
  </si>
  <si>
    <t>Andel investeringar som finansieras med försäljn. av anl.tillg.</t>
  </si>
  <si>
    <t>Måltider</t>
  </si>
  <si>
    <t>Förskola, avgiftsfinansierringsgrad %</t>
  </si>
  <si>
    <t>Fritidshem, avgiftsfinansieringsgrad</t>
  </si>
  <si>
    <t>Soliditet, % enligt balansräkningen</t>
  </si>
  <si>
    <t>Soliditet, % inkl. pensionsåtaganden före 1998</t>
  </si>
  <si>
    <t>Långfristiga skulder exkl. utlåning till kommunägda bolag</t>
  </si>
  <si>
    <t>Verksamhetens nettokostnader / Skatteintäkter, generella statsbidrag och utj.</t>
  </si>
  <si>
    <t>Finansnetto / Skatteintäkter, generella statsbidrag och utjämning</t>
  </si>
  <si>
    <t>Förutbet. kostnader o uppl. Intäkter, exkl.uppl skatteint.</t>
  </si>
  <si>
    <t>Verksamhetens självfinansieringsgrad</t>
  </si>
  <si>
    <t>Förs. expl.fastigheter, tomträtter [37]</t>
  </si>
  <si>
    <t>Interna lokal-kostnader</t>
  </si>
  <si>
    <t>Utlämnade lån till koncernföretag  (rad 088)</t>
  </si>
  <si>
    <t xml:space="preserve">Därav från gemensamma verksamheter  </t>
  </si>
  <si>
    <t xml:space="preserve">Boende enligt LSS för barn och unga </t>
  </si>
  <si>
    <t>Förskola, fritidshem och annan pedagogisk verksamhet</t>
  </si>
  <si>
    <t>Därav lokalkostnader</t>
  </si>
  <si>
    <t>Lokalkostnader</t>
  </si>
  <si>
    <t>Invånarantal 19 - 64</t>
  </si>
  <si>
    <t>Förskola, totalt</t>
  </si>
  <si>
    <t>Fritidshem, totalt</t>
  </si>
  <si>
    <t>Förskoleklass, totalt</t>
  </si>
  <si>
    <t>Grundskola, totalt</t>
  </si>
  <si>
    <t>Gymnasieskola, totalt</t>
  </si>
  <si>
    <t>Gymnasiesärskola, totalt</t>
  </si>
  <si>
    <t>Specificering av vissa intäkter (i kol.övr. externa intäkter)</t>
  </si>
  <si>
    <t>Grundläggande vuxenutbildning, totalt</t>
  </si>
  <si>
    <t>Gymnasial vuxen- och påbyggnadsutbildning, totalt</t>
  </si>
  <si>
    <t>1321</t>
  </si>
  <si>
    <t>Rad nr</t>
  </si>
  <si>
    <t>5731</t>
  </si>
  <si>
    <t>5732</t>
  </si>
  <si>
    <t>07911</t>
  </si>
  <si>
    <t>07912</t>
  </si>
  <si>
    <t>07951</t>
  </si>
  <si>
    <t>2599</t>
  </si>
  <si>
    <t>25991</t>
  </si>
  <si>
    <t>253</t>
  </si>
  <si>
    <t>3521</t>
  </si>
  <si>
    <t>3522</t>
  </si>
  <si>
    <t>4091</t>
  </si>
  <si>
    <t>4092</t>
  </si>
  <si>
    <t>4094</t>
  </si>
  <si>
    <t>4391</t>
  </si>
  <si>
    <t>4392</t>
  </si>
  <si>
    <t>4393</t>
  </si>
  <si>
    <t>4394</t>
  </si>
  <si>
    <t>3524</t>
  </si>
  <si>
    <t>2524</t>
  </si>
  <si>
    <t>0724</t>
  </si>
  <si>
    <t>5091</t>
  </si>
  <si>
    <t>5092</t>
  </si>
  <si>
    <t>5093</t>
  </si>
  <si>
    <t>5094</t>
  </si>
  <si>
    <t>5391</t>
  </si>
  <si>
    <t>5392</t>
  </si>
  <si>
    <t>5393</t>
  </si>
  <si>
    <t>5394</t>
  </si>
  <si>
    <t>Beteckning</t>
  </si>
  <si>
    <t>Grundsärskola, totalt</t>
  </si>
  <si>
    <t>87</t>
  </si>
  <si>
    <t>25911</t>
  </si>
  <si>
    <t>25912</t>
  </si>
  <si>
    <t>25951</t>
  </si>
  <si>
    <t>88</t>
  </si>
  <si>
    <t>35911</t>
  </si>
  <si>
    <t>35912</t>
  </si>
  <si>
    <t>35951</t>
  </si>
  <si>
    <t>89</t>
  </si>
  <si>
    <t>80</t>
  </si>
  <si>
    <t>40911</t>
  </si>
  <si>
    <t>40912</t>
  </si>
  <si>
    <t>40931</t>
  </si>
  <si>
    <t>90</t>
  </si>
  <si>
    <t>81</t>
  </si>
  <si>
    <t>43911</t>
  </si>
  <si>
    <t>43912</t>
  </si>
  <si>
    <t>43921</t>
  </si>
  <si>
    <t>43931</t>
  </si>
  <si>
    <t>91</t>
  </si>
  <si>
    <t>82</t>
  </si>
  <si>
    <t>50911</t>
  </si>
  <si>
    <t>50912</t>
  </si>
  <si>
    <t>50921</t>
  </si>
  <si>
    <t>50931</t>
  </si>
  <si>
    <t>92</t>
  </si>
  <si>
    <t>83</t>
  </si>
  <si>
    <t>53911</t>
  </si>
  <si>
    <t>53912</t>
  </si>
  <si>
    <t>53921</t>
  </si>
  <si>
    <t>53931</t>
  </si>
  <si>
    <t>Kommentarer utbildning inkl. förskoleklass:</t>
  </si>
  <si>
    <t>Grundsärskola</t>
  </si>
  <si>
    <r>
      <t>Summa 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</si>
  <si>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r>
      <t xml:space="preserve">Insatser enligt LSS/SFB </t>
    </r>
    <r>
      <rPr>
        <b/>
        <sz val="7"/>
        <rFont val="Calibri"/>
        <family val="2"/>
      </rPr>
      <t>¹</t>
    </r>
    <r>
      <rPr>
        <b/>
        <vertAlign val="superscript"/>
        <sz val="7"/>
        <rFont val="Calibri"/>
        <family val="2"/>
      </rPr>
      <t>,2</t>
    </r>
    <r>
      <rPr>
        <b/>
        <sz val="7"/>
        <rFont val="Calibri"/>
        <family val="2"/>
      </rPr>
      <t>)</t>
    </r>
  </si>
  <si>
    <r>
      <t>Personlig assistans enl. LSS/SFB</t>
    </r>
    <r>
      <rPr>
        <vertAlign val="superscript"/>
        <sz val="7"/>
        <rFont val="Helvetica"/>
        <family val="2"/>
      </rPr>
      <t>1</t>
    </r>
  </si>
  <si>
    <r>
      <t>Summa insatser enligt LSS/SFB</t>
    </r>
    <r>
      <rPr>
        <b/>
        <vertAlign val="superscript"/>
        <sz val="7"/>
        <rFont val="Helvetica"/>
        <family val="2"/>
      </rPr>
      <t>1</t>
    </r>
  </si>
  <si>
    <t>2) Kostnaderna och intäkterna för LSS bruttoredovisas liksom övriga verksamheter</t>
  </si>
  <si>
    <t>1) De bestämmelser om personlig assistans som tidigare fanns i LASS är fr.o.m. år 2011 inordnade i Socialförsäkringsbalken (SFB, 51 kap.).</t>
  </si>
  <si>
    <r>
      <t>Omsättningstillgångar</t>
    </r>
    <r>
      <rPr>
        <sz val="7"/>
        <rFont val="Helvetica"/>
        <family val="2"/>
      </rPr>
      <t xml:space="preserve">                                       </t>
    </r>
  </si>
  <si>
    <t>Rad-</t>
  </si>
  <si>
    <t>Text</t>
  </si>
  <si>
    <t>Kommunen</t>
  </si>
  <si>
    <t>nr</t>
  </si>
  <si>
    <t>Verksamhetens nettokostnader</t>
  </si>
  <si>
    <t>Skatteintäkter</t>
  </si>
  <si>
    <t>Finansiella intäkter</t>
  </si>
  <si>
    <t>Finansiella kostnader</t>
  </si>
  <si>
    <t>Årets resultat</t>
  </si>
  <si>
    <t>Rad</t>
  </si>
  <si>
    <t>Anläggningstillgångar</t>
  </si>
  <si>
    <t>Immateriella anläggningstillgångar</t>
  </si>
  <si>
    <t>Mark, byggn. och tekn. anläggningar</t>
  </si>
  <si>
    <t>Maskiner och inventarier</t>
  </si>
  <si>
    <t>Summa materiella anläggningstillg.</t>
  </si>
  <si>
    <t>Aktier och andelar, bostadsrätter</t>
  </si>
  <si>
    <t>Långfristiga fordringar</t>
  </si>
  <si>
    <t>Summa finansiella anläggningstillg.</t>
  </si>
  <si>
    <t>Summering av verksamhetens intäkter</t>
  </si>
  <si>
    <t>Summering av verksamhetens kostnader</t>
  </si>
  <si>
    <t>SUMMA ANLÄGGNINGSTILLGÅNGAR</t>
  </si>
  <si>
    <t>15</t>
  </si>
  <si>
    <t>Kundfordringar</t>
  </si>
  <si>
    <t>16</t>
  </si>
  <si>
    <t>Diverse kortfristiga fordringar</t>
  </si>
  <si>
    <t>165</t>
  </si>
  <si>
    <t>182</t>
  </si>
  <si>
    <t>183</t>
  </si>
  <si>
    <t>184</t>
  </si>
  <si>
    <t>Certifikat</t>
  </si>
  <si>
    <t>14-19</t>
  </si>
  <si>
    <t>SUMMA OMSÄTTNINGSTILLG.</t>
  </si>
  <si>
    <t>10-19</t>
  </si>
  <si>
    <t>SUMMA TILLGÅNGAR</t>
  </si>
  <si>
    <t>Eget kapital, ingående värde</t>
  </si>
  <si>
    <t>221</t>
  </si>
  <si>
    <t>222</t>
  </si>
  <si>
    <t>225</t>
  </si>
  <si>
    <t>228</t>
  </si>
  <si>
    <t>Andra avsättningar</t>
  </si>
  <si>
    <t>2281</t>
  </si>
  <si>
    <t>SUMMA AVSÄTTNINGAR</t>
  </si>
  <si>
    <t>Lån i banker och kreditinstitut</t>
  </si>
  <si>
    <t>Lån i utländsk valuta</t>
  </si>
  <si>
    <t>Långfristiga skulder till koncernföretag</t>
  </si>
  <si>
    <t>237</t>
  </si>
  <si>
    <t>Långfristig leasingskuld</t>
  </si>
  <si>
    <t>Långfristiga skulder, totalt</t>
  </si>
  <si>
    <t>24</t>
  </si>
  <si>
    <t>Kortfristiga skulder till kreditinstitut och kunder</t>
  </si>
  <si>
    <t>25</t>
  </si>
  <si>
    <t>Leverantörsskulder</t>
  </si>
  <si>
    <t>292</t>
  </si>
  <si>
    <t>Upplupna semesterlöner</t>
  </si>
  <si>
    <t>2933</t>
  </si>
  <si>
    <t>296</t>
  </si>
  <si>
    <t>Not 1</t>
  </si>
  <si>
    <t>Not 2</t>
  </si>
  <si>
    <t>Övriga kortfristiga skulder</t>
  </si>
  <si>
    <t>24-29</t>
  </si>
  <si>
    <t>Kortfristiga skulder, totalt</t>
  </si>
  <si>
    <t>23-29</t>
  </si>
  <si>
    <t>SUMMA SKULDER</t>
  </si>
  <si>
    <t>20,22-29</t>
  </si>
  <si>
    <t>SKULDER, AVSÄTT.O EGET KAPITAL</t>
  </si>
  <si>
    <t>Borgen o andra förpliktelser gentemot kommunala bostadsföretag</t>
  </si>
  <si>
    <t>Borgen o andra förpliktelser gentemot övriga kommunala företag</t>
  </si>
  <si>
    <t>SUMMA ANSVARSFÖRBINDELSER</t>
  </si>
  <si>
    <t>Förrättnings- och granskningsavgifter</t>
  </si>
  <si>
    <t>Taxor och avgifter, övrigt</t>
  </si>
  <si>
    <t>Taxor och avgifter</t>
  </si>
  <si>
    <t>Bostads- och lokalhyror</t>
  </si>
  <si>
    <t>Markhyror och arrenden mm.</t>
  </si>
  <si>
    <t>343-349</t>
  </si>
  <si>
    <t>Hyror och arrenden</t>
  </si>
  <si>
    <t>Bidrag</t>
  </si>
  <si>
    <t>Bidrag till enskilda</t>
  </si>
  <si>
    <t>Bostadssociala bidrag</t>
  </si>
  <si>
    <t>Löner mm.</t>
  </si>
  <si>
    <t>Personal</t>
  </si>
  <si>
    <t>Livsmedel</t>
  </si>
  <si>
    <t>Kontorsmaterial</t>
  </si>
  <si>
    <t>Material, övrigt</t>
  </si>
  <si>
    <t>Material</t>
  </si>
  <si>
    <t>Tele-, It-kommunikation o. postbefordran</t>
  </si>
  <si>
    <t>Markhyror</t>
  </si>
  <si>
    <t>Tjänster, övrigt</t>
  </si>
  <si>
    <t>Tjänster, inkl köp av verksamhet</t>
  </si>
  <si>
    <t>Allmän kommunalskatt</t>
  </si>
  <si>
    <t>Inkomstutjämningsavgift</t>
  </si>
  <si>
    <t>Regleringsavgift</t>
  </si>
  <si>
    <t>Kostnadsutjämningsavgift</t>
  </si>
  <si>
    <t>Avgift till LSS-utjämningen</t>
  </si>
  <si>
    <t>Avgifter i utjämningssystemen</t>
  </si>
  <si>
    <t>Inkomstutjämningsbidrag</t>
  </si>
  <si>
    <t>Strukturbidrag</t>
  </si>
  <si>
    <t>Införandebidrag</t>
  </si>
  <si>
    <t>Regleringsbidrag</t>
  </si>
  <si>
    <t>Kostnadsutjämningsbidrag</t>
  </si>
  <si>
    <t>Bidrag för LSS-utjämning</t>
  </si>
  <si>
    <t>Bidrag från utjämningssystemen och generella statliga bidrag</t>
  </si>
  <si>
    <t>Utdelning på aktier och andelar</t>
  </si>
  <si>
    <t>Ränteintäkter</t>
  </si>
  <si>
    <t>Ränteintäkter på kundfordringar</t>
  </si>
  <si>
    <t>855, 857</t>
  </si>
  <si>
    <t>U</t>
  </si>
  <si>
    <t>V</t>
  </si>
  <si>
    <t>W</t>
  </si>
  <si>
    <t>X</t>
  </si>
  <si>
    <t>Z</t>
  </si>
  <si>
    <t>ZF</t>
  </si>
  <si>
    <t>ZM</t>
  </si>
  <si>
    <t>Y</t>
  </si>
  <si>
    <t>YJ</t>
  </si>
  <si>
    <t>Koncernen</t>
  </si>
  <si>
    <t xml:space="preserve">Orealiserade valutakursvinster  </t>
  </si>
  <si>
    <t>Tillgångar</t>
  </si>
  <si>
    <t>Förråd, lager, exploateringsfastigh.</t>
  </si>
  <si>
    <t>1351</t>
  </si>
  <si>
    <t>246</t>
  </si>
  <si>
    <t>Årets resultat / Skatteintäkter, generella statsbidrag och utj.</t>
  </si>
  <si>
    <t>Investeringar i % av skatteintäkter, generella statsbidrag och utj.</t>
  </si>
  <si>
    <t>Grundskola inkl förskoleklass och grundsärskola</t>
  </si>
  <si>
    <t xml:space="preserve">Bidrag från utjämningssystemen och generella </t>
  </si>
  <si>
    <t>statliga bidrag</t>
  </si>
  <si>
    <t xml:space="preserve">Realiserade valutakursförluster </t>
  </si>
  <si>
    <t>Orealiserade valutakursförluster</t>
  </si>
  <si>
    <t xml:space="preserve">Verksamhetens intäkter </t>
  </si>
  <si>
    <t xml:space="preserve">Verksamhetens kostnader </t>
  </si>
  <si>
    <t>Däravposter till verksamhetens kostnader</t>
  </si>
  <si>
    <t>Förändring</t>
  </si>
  <si>
    <t>procent</t>
  </si>
  <si>
    <t>Borgensförbindelser och övriga ansvarsförbindelser</t>
  </si>
  <si>
    <t xml:space="preserve">Förskola, fritidshem o annan ped.verksamhet totalt </t>
  </si>
  <si>
    <t>Förskola, fritidshem o annan pedagogisk verksamhet, totalt</t>
  </si>
  <si>
    <t xml:space="preserve">Korttidsboende / Korttidsvård </t>
  </si>
  <si>
    <t>Elevhälsa</t>
  </si>
  <si>
    <t>563 [ej 5635]</t>
  </si>
  <si>
    <t>del av 15</t>
  </si>
  <si>
    <t>del av 25</t>
  </si>
  <si>
    <t>30, 369</t>
  </si>
  <si>
    <t>Övriga hyror och arrenden</t>
  </si>
  <si>
    <t>Däravposter till verksamhetens intäkter</t>
  </si>
  <si>
    <t>Försäljning av verksamhet, motpart kommun</t>
  </si>
  <si>
    <t>4541</t>
  </si>
  <si>
    <t>Förändring av avsättning</t>
  </si>
  <si>
    <t>Försäljningsintäker,  övriga ersättningar och intäkter</t>
  </si>
  <si>
    <t>Särsk. löneskatt, exkl. särsk.lönesk.pens.avs.</t>
  </si>
  <si>
    <t>Försäljn. av verksamheter och tjänster</t>
  </si>
  <si>
    <t>Lämnade bidrag</t>
  </si>
  <si>
    <t>Pensionsförsäkringspremier</t>
  </si>
  <si>
    <t>Köp av huvudverksamhet</t>
  </si>
  <si>
    <t>Reparation och underhåll</t>
  </si>
  <si>
    <t>Avsättning för särskild löneskatt på pensioner</t>
  </si>
  <si>
    <t>Upplupen pensionskostnad avgiftsbestämd ålderspension</t>
  </si>
  <si>
    <t>761</t>
  </si>
  <si>
    <t>Kommunal fastighetsavgift</t>
  </si>
  <si>
    <t>Förbrukningsinventarier</t>
  </si>
  <si>
    <t>Räntekostnader</t>
  </si>
  <si>
    <t>Aktier, andelar och bostadsrätter [132, 137]</t>
  </si>
  <si>
    <t xml:space="preserve">Köp av huvud-verksamhet </t>
  </si>
  <si>
    <t>[30, 34 ej 341, 35-36</t>
  </si>
  <si>
    <t>Lämnade bidrag  [45]</t>
  </si>
  <si>
    <t>Mortpart 85</t>
  </si>
  <si>
    <t>Extern motpart, interv.5-7</t>
  </si>
  <si>
    <t>Motpart 87</t>
  </si>
  <si>
    <t>Motpart 82</t>
  </si>
  <si>
    <t>Motpart 84</t>
  </si>
  <si>
    <t>Motpart 81</t>
  </si>
  <si>
    <t>Motpart 86</t>
  </si>
  <si>
    <t>Motpart 83</t>
  </si>
  <si>
    <t>Extern motpart interv. 9</t>
  </si>
  <si>
    <t>[361]                       Motpart 84</t>
  </si>
  <si>
    <t>[351]                       Motpart 81</t>
  </si>
  <si>
    <t>Köp av huvud-</t>
  </si>
  <si>
    <t>238</t>
  </si>
  <si>
    <t>232, 239</t>
  </si>
  <si>
    <t>Uppl.särsk.lönesk.avgiftsbest.ålderspens.</t>
  </si>
  <si>
    <t>Upplupna sociala avgifter</t>
  </si>
  <si>
    <t>Bränsle, energi och vatten, Drivmedel</t>
  </si>
  <si>
    <t>62, 691</t>
  </si>
  <si>
    <t>361, 363, 365</t>
  </si>
  <si>
    <t>Övriga främmande tjänster</t>
  </si>
  <si>
    <t>781, 782,784</t>
  </si>
  <si>
    <t>Pensionsutbetalningar intjänade fr.o.m.98</t>
  </si>
  <si>
    <t>Pensutbetalningar intjänade före 98</t>
  </si>
  <si>
    <t>Pens.utbet. särsk. avtalspens., visstidspens.</t>
  </si>
  <si>
    <t>Generella bidrag från staten  m.m.</t>
  </si>
  <si>
    <t>[46]</t>
  </si>
  <si>
    <t>Köp av huvudverksamhet [46]</t>
  </si>
  <si>
    <t>verksamhet [46]</t>
  </si>
  <si>
    <t>617, 618</t>
  </si>
  <si>
    <t>63, 695</t>
  </si>
  <si>
    <t>361, 363</t>
  </si>
  <si>
    <t>361</t>
  </si>
  <si>
    <t>Därav köp av huvudverksamhet</t>
  </si>
  <si>
    <t>Motpartsredovisning av köp av huvudverksamhet [46]</t>
  </si>
  <si>
    <t>341</t>
  </si>
  <si>
    <t>651</t>
  </si>
  <si>
    <t>317</t>
  </si>
  <si>
    <t>327</t>
  </si>
  <si>
    <t>087</t>
  </si>
  <si>
    <t>062</t>
  </si>
  <si>
    <t>064</t>
  </si>
  <si>
    <t>Not 1: 26-27 (ej 271), 289, 29 (ej 292, 293, 296, 298)</t>
  </si>
  <si>
    <t xml:space="preserve">6192, 692, 696 </t>
  </si>
  <si>
    <r>
      <rPr>
        <b/>
        <sz val="7"/>
        <rFont val="Helvetica"/>
        <family val="2"/>
      </rPr>
      <t>Not 2</t>
    </r>
    <r>
      <rPr>
        <sz val="7"/>
        <rFont val="Helvetica"/>
        <family val="2"/>
      </rPr>
      <t>: 55x1, 5597, 61 ej [617, 618, 6192], 699, 70 ej 701, 71-72</t>
    </r>
  </si>
  <si>
    <t>Differens mellan summan av rad 900-984 och RR rad 070</t>
  </si>
  <si>
    <t>Enskilda personer, hushåll</t>
  </si>
  <si>
    <t>Staten, statl. Myndigheter (inkl.FK)</t>
  </si>
  <si>
    <t xml:space="preserve"> [30, 34 ej 341, 35-36] </t>
  </si>
  <si>
    <t>Externa bostadshyror och lokalhyror</t>
  </si>
  <si>
    <t>inkomster</t>
  </si>
  <si>
    <t>Avsättningar för pensioner och liknande förpliktelser</t>
  </si>
  <si>
    <t>Avsättningar för särskild avtalspens, visstidspens.o liknande</t>
  </si>
  <si>
    <t>Reaförluster o div. period. [78 "ej 787,"]</t>
  </si>
  <si>
    <t>138</t>
  </si>
  <si>
    <t>Grundfondskapital</t>
  </si>
  <si>
    <t>133, 134</t>
  </si>
  <si>
    <t>132, 137</t>
  </si>
  <si>
    <t>104</t>
  </si>
  <si>
    <t>[31]</t>
  </si>
  <si>
    <t>Buss, bil och spårbundna persontransporter</t>
  </si>
  <si>
    <t>Väg- och järnvägsnät, parkering</t>
  </si>
  <si>
    <t xml:space="preserve">Lärverktyg </t>
  </si>
  <si>
    <t>Varor m.m.</t>
  </si>
  <si>
    <t>Kommun-                  nyckel</t>
  </si>
  <si>
    <t>SCB-             nyckel</t>
  </si>
  <si>
    <t xml:space="preserve">             Fördelning i kolumnen kommunnyckel </t>
  </si>
  <si>
    <t xml:space="preserve">             Fördelning i kolumnen SCB-nyckel</t>
  </si>
  <si>
    <t>20</t>
  </si>
  <si>
    <t>EGET KAPITAL, utgående värde</t>
  </si>
  <si>
    <t xml:space="preserve">        därav Resultatutjämningsreserv</t>
  </si>
  <si>
    <t>Invånarantal 1-5 år</t>
  </si>
  <si>
    <t>Invånarantal 6-12 år</t>
  </si>
  <si>
    <t>Invånarantal 6 år</t>
  </si>
  <si>
    <t>Invånarantal 7-15 år</t>
  </si>
  <si>
    <t>Invånarantal 16-18 år</t>
  </si>
  <si>
    <t>Särskild utbildning för vuxna</t>
  </si>
  <si>
    <t>Förskola, kostnad per invånare 1-5 år</t>
  </si>
  <si>
    <t>Förskola, kostnad per invånare 1-5 år kommunal regi</t>
  </si>
  <si>
    <t>Förskola, kostnad för lokaler/invånare 1-5 år kommunal regi</t>
  </si>
  <si>
    <t>Förskola, köp av platser i annan kommun per invånare 1-5 år</t>
  </si>
  <si>
    <t>Förskola, försäljning av platser till annan kommun per invånare 1-5 år</t>
  </si>
  <si>
    <t>Förskola, köp av platser i enskild regi per invånare 1-5 år</t>
  </si>
  <si>
    <t>Kostnad per invånare 16-18 år kommunal regi.</t>
  </si>
  <si>
    <t>Kostnad per invånare 16-18 år för undervisning kommunal regi.</t>
  </si>
  <si>
    <t>Kostnad per invånare 16-18 år för lärverktyg kommunal regi.</t>
  </si>
  <si>
    <t>Kostnad per invånare 16-18 år för skolmåltider kommunal regi.</t>
  </si>
  <si>
    <t>Kostnad per invånare 16-18 år skolskjuts hemkommunen.</t>
  </si>
  <si>
    <t>Kostnad per invånare 16-18 år för elevhälsa kommunal regi.</t>
  </si>
  <si>
    <t>Lokalkostnad per invånare 16-18 år kommunal regi.</t>
  </si>
  <si>
    <t>Kostnad per invånare 16-18 år för övrigt kommunal regi.</t>
  </si>
  <si>
    <t>Kostnad per invånare 16-18 år för hemkommunen.</t>
  </si>
  <si>
    <t>Köp av platser i fristående skola per invånare 16-18 år</t>
  </si>
  <si>
    <t>Köp av platser i fristående skola per invånare 16-18 år.</t>
  </si>
  <si>
    <t>Kostnad per invånare 19-64 år kommunal regi</t>
  </si>
  <si>
    <t>Kostnad per invånare 19-64 år för undervisning.</t>
  </si>
  <si>
    <t>Kostnad per invånare 19-64 år för lärverktyg</t>
  </si>
  <si>
    <t>Kostnad per invånare 19-64 år för elevhälsa.</t>
  </si>
  <si>
    <t>Kostnad per invånare 19-64 år för lokaler.</t>
  </si>
  <si>
    <t>Kostnad per invånare 19-64 år för övigt.</t>
  </si>
  <si>
    <t>Kostnad per invånare 19-64 år för hemkommunen, grundläggande och gymnasial vuxenutbildning.</t>
  </si>
  <si>
    <t>Kostnad per invånare 7-15 år kommunal regi.</t>
  </si>
  <si>
    <t>Kostnad per  invånare 7-15 år för undervisning kommunal regi.</t>
  </si>
  <si>
    <t>Kostnad per  invånare 7-15 år för lärverktyg kommunal regi.</t>
  </si>
  <si>
    <t>Kostnad per  invånare 7-15 år för skolmåltider kommunal regi.</t>
  </si>
  <si>
    <t>Kostnad per  invånare 7-15 år för skolskjuts hemkommun.</t>
  </si>
  <si>
    <t>Kostnad per  invånare 7-15 år för elevhälsa kommunal regi.</t>
  </si>
  <si>
    <t>Kostnad per  invånare 7-15 år för lokaler kommunal regi.</t>
  </si>
  <si>
    <t>Kostnad per  invånare 7-15 år för övrigt kommunal regi.</t>
  </si>
  <si>
    <t>Kostnad per  invånare 7-15 år för hemkommunen.</t>
  </si>
  <si>
    <t>Köp av platser i annan kommun per  invånare 7-15 år.</t>
  </si>
  <si>
    <t>Försäljning av platser till annan kommun per  invånare 7-15 år.</t>
  </si>
  <si>
    <t>Köp av platser i fristående skola per  invånare 7-15 år.</t>
  </si>
  <si>
    <t>Förskoleklass, kostnad per invånare 6 år för hemkommunen</t>
  </si>
  <si>
    <t>Förskoleklass, kostnad per invånare 6 år kommunal regi</t>
  </si>
  <si>
    <t>Förskolklass, kostnad för lokaler/invånare 6 år i kommunal regi.</t>
  </si>
  <si>
    <t>Förskoleklass, köp av platser i annan kommun per invånare 6 år</t>
  </si>
  <si>
    <t>Förskoleklass, försäljning av platser till annan kommun per invånare 6 år.</t>
  </si>
  <si>
    <t>Förskoleklass, köp av platser i enskild regi per invånare 6 år.</t>
  </si>
  <si>
    <t>Fritidshem, kostnad per invånare 6-12 år för hemkommunen</t>
  </si>
  <si>
    <t>Fritidshem, kostnad per invånare 6-12 år kommunal regi</t>
  </si>
  <si>
    <t>Fritidshem, kostnad för lokaler/invånare 6-12 år kommunal regi</t>
  </si>
  <si>
    <t>Fritidshem, köp av platser i annan kommun per invånare 6-12 år</t>
  </si>
  <si>
    <t>Fritidshem, försäljning av platser till annan kommun per invånare 6-12 år</t>
  </si>
  <si>
    <t>Fritidshem, köp av platser i enskild regi per invånare 6-12 år</t>
  </si>
  <si>
    <t>147</t>
  </si>
  <si>
    <t>+ Inköp / nyanskaffning inklusive pågående arbeten</t>
  </si>
  <si>
    <t>(Reavinst vid) försäljning av anläggningstillgångar</t>
  </si>
  <si>
    <t>Exploateringsfastigheter(avser kommun)</t>
  </si>
  <si>
    <t>Inköp av maskiner o</t>
  </si>
  <si>
    <t>Inköp av mark, byggn.</t>
  </si>
  <si>
    <t>Investerings-</t>
  </si>
  <si>
    <t>utgifter</t>
  </si>
  <si>
    <t>Därav borgensåtaganden för lån</t>
  </si>
  <si>
    <t xml:space="preserve">      varav för lån</t>
  </si>
  <si>
    <t>042</t>
  </si>
  <si>
    <t xml:space="preserve">           varav  för lån av offentligt ägda bolag</t>
  </si>
  <si>
    <t>Återbet borgensåt.</t>
  </si>
  <si>
    <t>161</t>
  </si>
  <si>
    <t>162</t>
  </si>
  <si>
    <t>Kostnad per invånare 7-15 år för undervisning kommunal regi.</t>
  </si>
  <si>
    <t>Kostnad per invånare 7-15 år för lärverktyg kommunal regi.</t>
  </si>
  <si>
    <t>Kostnad per invånare 7-15 år för skolmåltider kommunal regi.</t>
  </si>
  <si>
    <t>Kostnad per invånare 7-15 år skolskjuts hemkommunen.</t>
  </si>
  <si>
    <t>Kostnad per invånare 7-15 år för elevhälsa kommunal regi.</t>
  </si>
  <si>
    <t>Lokalkostnad per invånare 7-15 år kommunal regi.</t>
  </si>
  <si>
    <t>Kostnad per invånare 7-15 år för övrigt kommunal regi.</t>
  </si>
  <si>
    <t>Kostnad per invånare 7-15 år för hemkommunen.</t>
  </si>
  <si>
    <t>Köp av platser i annan kommun per invånare 7-15 år.</t>
  </si>
  <si>
    <t>Försäljning av platser till annan kommun per invånare 7-15 år.</t>
  </si>
  <si>
    <t>Köp av platser i fristående skola per invånare 7-15 år.</t>
  </si>
  <si>
    <t>Pensionsutbetalningar</t>
  </si>
  <si>
    <t>Uppdragsutbildning m.m.</t>
  </si>
  <si>
    <t>Avgifter till utjämningssystemen</t>
  </si>
  <si>
    <t>(Reavinst vid) Försälj. av anl.tillg.[38]</t>
  </si>
  <si>
    <t>Nyckeltal kostnad kr per invånare eller andel av verksamhet</t>
  </si>
  <si>
    <t>BIDRAG TILL INFRASTRUKTUR</t>
  </si>
  <si>
    <t>Bidrag till infrastruktur</t>
  </si>
  <si>
    <t>Kostnadsföring bidrag till infrastruktur</t>
  </si>
  <si>
    <t>Upplösning aktiverat bidrag till infrastruktur</t>
  </si>
  <si>
    <t>Däravposter till finansiella intäkter</t>
  </si>
  <si>
    <t>733,734, 765</t>
  </si>
  <si>
    <t>Utdeln.aktier,andel.koncernftg.</t>
  </si>
  <si>
    <t>Kostnad för eget åtagande</t>
  </si>
  <si>
    <t>Kostnad för</t>
  </si>
  <si>
    <t xml:space="preserve">Kostnad för </t>
  </si>
  <si>
    <t xml:space="preserve">BRUTTO- 
</t>
  </si>
  <si>
    <t>Begravningsavgift (Stockholm och Tranås)</t>
  </si>
  <si>
    <t>Netto-kostnad</t>
  </si>
  <si>
    <t xml:space="preserve">Produktions-kostnad </t>
  </si>
  <si>
    <t>Bruttokostnad ./. Bruttointäkt</t>
  </si>
  <si>
    <t>Bruttokostnad ./. Köp av huvud-verksamhet ./. Lämnade bidrag ./. Interna intäkter</t>
  </si>
  <si>
    <t xml:space="preserve">        kronor / invånare</t>
  </si>
  <si>
    <t xml:space="preserve">           Nyckeltal</t>
  </si>
  <si>
    <t>Bruttokostnad ./. Interna</t>
  </si>
  <si>
    <t xml:space="preserve">            Nyckeltal </t>
  </si>
  <si>
    <t>808, 809</t>
  </si>
  <si>
    <t xml:space="preserve">Mellankommunal kostn.utj., Övriga skatter </t>
  </si>
  <si>
    <t>Kostnader för eget åtagande</t>
  </si>
  <si>
    <t>åtagande</t>
  </si>
  <si>
    <t>eget</t>
  </si>
  <si>
    <t>Intern hantering inom kommunen: Synnerliga skäl att inte täcka underskott eller andra interna justeringar</t>
  </si>
  <si>
    <t>avgår: övriga justeringar</t>
  </si>
  <si>
    <t>tillägg: övriga justeringar</t>
  </si>
  <si>
    <t>varav synnerliga skäl för att inte behöva återställa ett negativt resultat</t>
  </si>
  <si>
    <t>Kommentarer flyktingmott. o arbetsm.åtg:</t>
  </si>
  <si>
    <t>Kommentarer kultur o fritids-verksamhet:</t>
  </si>
  <si>
    <t>Kommentarer förskola, fritids-hem o annan ped.verks.:</t>
  </si>
  <si>
    <t xml:space="preserve">Kommentarer affärs-verksamhet: </t>
  </si>
  <si>
    <t>Kommentarer infrastruktur och skydd:</t>
  </si>
  <si>
    <t>Statsbidrag maxtaxa kolumn AB 
Statsbidrag kvalitetssäkran-de åtgärder kolumn AC</t>
  </si>
  <si>
    <r>
      <t xml:space="preserve">Nyckeltal, kronor / invånare
</t>
    </r>
    <r>
      <rPr>
        <sz val="7"/>
        <rFont val="Helvetica"/>
        <family val="2"/>
      </rPr>
      <t>och Kommentarrutor</t>
    </r>
  </si>
  <si>
    <t>Kommentarer VoO inkl. IFO</t>
  </si>
  <si>
    <t>342</t>
  </si>
  <si>
    <t>Avskrivningar, inklusive nedskrivningar</t>
  </si>
  <si>
    <t>bindelser (inklusive borgens- o förlustansvar                   småhus)</t>
  </si>
  <si>
    <t>Pensionsförplikt.    Inkl. löneskatt på</t>
  </si>
  <si>
    <t xml:space="preserve"> som inte har upptagits bland skulder el. avsättningar                pensionsförpliktelse</t>
  </si>
  <si>
    <t>Övr. ansvarsför-    för egnahem o</t>
  </si>
  <si>
    <t xml:space="preserve">Entrepren., Konsulter </t>
  </si>
  <si>
    <t>[617,618,74,75]</t>
  </si>
  <si>
    <t>[402]</t>
  </si>
  <si>
    <t>[403]</t>
  </si>
  <si>
    <t>Samtliga invest. entrepr. och  invest.konsulter ingår)</t>
  </si>
  <si>
    <t>067</t>
  </si>
  <si>
    <t>15-17</t>
  </si>
  <si>
    <t>Summa kortfristiga fordringar</t>
  </si>
  <si>
    <t>18</t>
  </si>
  <si>
    <t>131</t>
  </si>
  <si>
    <t>Avsättn. bidrag till infrastruktur</t>
  </si>
  <si>
    <t>132</t>
  </si>
  <si>
    <t>133</t>
  </si>
  <si>
    <t>134</t>
  </si>
  <si>
    <t>242</t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</si>
  <si>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Mark, byggn. och tekn. Anläggningar [11]</t>
    </r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</si>
  <si>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Maskiner och inventarier [12]</t>
    </r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</si>
  <si>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Finansiella anläggnings-tillg.                 [13 ej 139]</t>
    </r>
  </si>
  <si>
    <t xml:space="preserve">
Därav</t>
  </si>
  <si>
    <r>
      <t xml:space="preserve">Koncern
</t>
    </r>
    <r>
      <rPr>
        <sz val="7"/>
        <color indexed="8"/>
        <rFont val="Helvetica"/>
        <family val="2"/>
      </rPr>
      <t>Materiella anläggningstillg.[11,12]</t>
    </r>
  </si>
  <si>
    <r>
      <t xml:space="preserve">Koncern
</t>
    </r>
    <r>
      <rPr>
        <sz val="7"/>
        <color indexed="8"/>
        <rFont val="Helvetica"/>
        <family val="2"/>
      </rPr>
      <t>Finansiella anläggningstillg.[13, ej 139]</t>
    </r>
  </si>
  <si>
    <t>Rad-nr</t>
  </si>
  <si>
    <t>Inköp och försäljning av mark oavsett bokfört som omsättningstillgång eller anläggningstillgång</t>
  </si>
  <si>
    <t>Inköp av mark</t>
  </si>
  <si>
    <t xml:space="preserve">Vid redovisning av försäljning av mark ska enbart själva markens inkomst redovisas.  </t>
  </si>
  <si>
    <t>715</t>
  </si>
  <si>
    <t>720</t>
  </si>
  <si>
    <t>725</t>
  </si>
  <si>
    <t xml:space="preserve">Beloppen ska delas in utifrån den verksamhet som företagen klassificeras som enligt de alternativ som finns nedan.  T ex ska 50 % av ett bostadsföretags investeringsbelopp, som ägs </t>
  </si>
  <si>
    <t>Bransch</t>
  </si>
  <si>
    <t>Företagen/    dotterbolagen</t>
  </si>
  <si>
    <t>730</t>
  </si>
  <si>
    <t>Fastighetsverksamhet</t>
  </si>
  <si>
    <t>735</t>
  </si>
  <si>
    <t>Energi och vatten</t>
  </si>
  <si>
    <t>740</t>
  </si>
  <si>
    <t>Transport och kommunikation</t>
  </si>
  <si>
    <t>745</t>
  </si>
  <si>
    <t>Övriga</t>
  </si>
  <si>
    <t>750</t>
  </si>
  <si>
    <t>Summa</t>
  </si>
  <si>
    <t>(exkl. förs. av anl.tillgångar)</t>
  </si>
  <si>
    <t>Intäkter till Kolada</t>
  </si>
  <si>
    <t>Bruttointäkt minus Interna intäkter och försäljning till andra kommuner och landsting</t>
  </si>
  <si>
    <t>Därav personal-kostnader</t>
  </si>
  <si>
    <t>Netto-</t>
  </si>
  <si>
    <t>Dagverksamhet, ordinärt boende</t>
  </si>
  <si>
    <t>del av 453   [ej 4538]</t>
  </si>
  <si>
    <t>- Försäljningspris / avyttringsbelopp</t>
  </si>
  <si>
    <t>Däravposter till avsättningar och skulder</t>
  </si>
  <si>
    <t>Därav köp av huvudverk-samhet</t>
  </si>
  <si>
    <r>
      <t>Bidrag motpart staten och statliga myndigheter</t>
    </r>
    <r>
      <rPr>
        <b/>
        <sz val="7"/>
        <rFont val="Helvetica"/>
        <family val="2"/>
      </rPr>
      <t xml:space="preserve"> exkl.</t>
    </r>
    <r>
      <rPr>
        <sz val="7"/>
        <rFont val="Helvetica"/>
        <family val="2"/>
      </rPr>
      <t xml:space="preserve"> ersättning till FK för pers.assistenter</t>
    </r>
  </si>
  <si>
    <t xml:space="preserve">   därav investeringsbidrag från staten o statl.myndigheter</t>
  </si>
  <si>
    <t xml:space="preserve">   därav investeringsbidrag från EU</t>
  </si>
  <si>
    <t>del av 238</t>
  </si>
  <si>
    <t>del av 23</t>
  </si>
  <si>
    <t>del av 228</t>
  </si>
  <si>
    <t>755</t>
  </si>
  <si>
    <t>Lån för vidarutlåning till koncernföretagen</t>
  </si>
  <si>
    <t>lämnas nedan</t>
  </si>
  <si>
    <t xml:space="preserve">Uppgifterna för koncernen </t>
  </si>
  <si>
    <r>
      <rPr>
        <b/>
        <sz val="7"/>
        <rFont val="Helvetica"/>
        <family val="2"/>
      </rPr>
      <t xml:space="preserve">Koncern: </t>
    </r>
    <r>
      <rPr>
        <sz val="7"/>
        <rFont val="Helvetica"/>
        <family val="2"/>
      </rPr>
      <t>Kortfrist. skulder till kreditinst. o kunder</t>
    </r>
  </si>
  <si>
    <t xml:space="preserve">                                Varav kortfristig del av långfr. skuld</t>
  </si>
  <si>
    <t>Kortfristig del av långfristig skuld</t>
  </si>
  <si>
    <t>Checkkredit, övriga långfristiga skulder</t>
  </si>
  <si>
    <t>Om ingen exakt uppdelning finns mellan mark och eventuell byggnad/anläggning så får en uppskattning med utgångspunkt ur bokfört värde göras.</t>
  </si>
  <si>
    <r>
      <t xml:space="preserve">Det som avses är de investeringar som har gjorts av de företag/bolag/stiftelser/kommunalförbund som konsolideras i den sammanställda redovisningen. </t>
    </r>
    <r>
      <rPr>
        <b/>
        <sz val="8"/>
        <rFont val="Helvetica"/>
        <family val="2"/>
      </rPr>
      <t xml:space="preserve">Endast kommunens andel  anges. </t>
    </r>
  </si>
  <si>
    <t>Öronmärkt belopp för framtida pensionsutbetalningar enligt kommunens årsredovisning</t>
  </si>
  <si>
    <t>- Förlust vid avyttring och utrangering av anl.tillgångar</t>
  </si>
  <si>
    <t>Div. förluster, övr.riskk. [735,736,737,738,739]</t>
  </si>
  <si>
    <t>Hälso- och sjukvård, övrigt (utöver den hemsjukvård som ingår på radnr 510, 520 eller 513)</t>
  </si>
  <si>
    <t>Totalt (exklusive försäljning av anl.tillg.)</t>
  </si>
  <si>
    <r>
      <t>Infrastruktur, skydd m.m.</t>
    </r>
    <r>
      <rPr>
        <sz val="7"/>
        <rFont val="Helvetica"/>
        <family val="2"/>
      </rPr>
      <t xml:space="preserve">                                                      Fysisk o. teknisk planering, bostadsförbättr.</t>
    </r>
  </si>
  <si>
    <t>inv. 65-w år</t>
  </si>
  <si>
    <t>inv. 0-64 år</t>
  </si>
  <si>
    <t>inv. 23-w år</t>
  </si>
  <si>
    <t>inv. 0-22 år</t>
  </si>
  <si>
    <t>inv. 23-64 år</t>
  </si>
  <si>
    <t>Enligt Verksamhetens intäkter och kostnader</t>
  </si>
  <si>
    <t>Driftbidrag fr. staten, statl. mynd. Inkl.AF</t>
  </si>
  <si>
    <t>Därav                                köp av huvud-verksamhet</t>
  </si>
  <si>
    <t>Differens mellan summan av rad 800-844 och RR rad 060:</t>
  </si>
  <si>
    <t>Larm o bevakning, Brandskydd, Avgifter för kurser m.m.</t>
  </si>
  <si>
    <t>Självrisker</t>
  </si>
  <si>
    <t>Infriad borgen</t>
  </si>
  <si>
    <t>Avgifter</t>
  </si>
  <si>
    <t>Kundförluster, Straffavgifter m.m., Förluster på kortfr.fordringar, Övr. riskkostnader</t>
  </si>
  <si>
    <t>Nämnare nyckeltal och kommentar till kontroller</t>
  </si>
  <si>
    <t>Följande jämförelsestörande poster ingår i Resultaträkningen ovan:</t>
  </si>
  <si>
    <t>170</t>
  </si>
  <si>
    <t>175</t>
  </si>
  <si>
    <t>180</t>
  </si>
  <si>
    <r>
      <t>Därav Utdebiterat till verksamheterna (raderna)</t>
    </r>
    <r>
      <rPr>
        <sz val="7"/>
        <color rgb="FFFFFFCC"/>
        <rFont val="Helvetica"/>
        <family val="2"/>
      </rPr>
      <t xml:space="preserve"> …………..</t>
    </r>
    <r>
      <rPr>
        <sz val="7"/>
        <rFont val="Helvetica"/>
        <family val="2"/>
      </rPr>
      <t xml:space="preserve">100-910 i regel i kol.M </t>
    </r>
  </si>
  <si>
    <t>del av 16</t>
  </si>
  <si>
    <t>Fördelad gemensam verksamhet (rad 920)</t>
  </si>
  <si>
    <t>735, 736, 738, 739</t>
  </si>
  <si>
    <r>
      <t xml:space="preserve">till 50 % av kommunen, anges på raden för fastighetsverksamhet. I beloppet ska bolagets samtliga investeringsutgifter/inkomster </t>
    </r>
    <r>
      <rPr>
        <i/>
        <sz val="8"/>
        <color rgb="FFFF0000"/>
        <rFont val="Helvetica"/>
        <family val="2"/>
      </rPr>
      <t>avseende materiella och immateriella anläggningstillgångar</t>
    </r>
    <r>
      <rPr>
        <sz val="8"/>
        <rFont val="Helvetica"/>
        <family val="2"/>
      </rPr>
      <t xml:space="preserve"> ingå,dvs. inte enbart fastighetsinvesteringar.</t>
    </r>
  </si>
  <si>
    <t>utgifter i mat.</t>
  </si>
  <si>
    <r>
      <t xml:space="preserve">o immat. anl.    tillg.              </t>
    </r>
    <r>
      <rPr>
        <sz val="7"/>
        <rFont val="Helvetica"/>
        <family val="2"/>
      </rPr>
      <t xml:space="preserve">  (före konsolidering)</t>
    </r>
  </si>
  <si>
    <r>
      <rPr>
        <b/>
        <sz val="7"/>
        <rFont val="Helvetica"/>
        <family val="2"/>
      </rPr>
      <t>Därav</t>
    </r>
    <r>
      <rPr>
        <sz val="7"/>
        <rFont val="Helvetica"/>
        <family val="2"/>
      </rPr>
      <t xml:space="preserve"> Jämförelsestörande intäkter </t>
    </r>
    <r>
      <rPr>
        <b/>
        <sz val="7"/>
        <rFont val="Helvetica"/>
        <family val="2"/>
      </rPr>
      <t>på rad 010</t>
    </r>
  </si>
  <si>
    <r>
      <rPr>
        <b/>
        <sz val="7"/>
        <rFont val="Helvetica"/>
        <family val="2"/>
      </rPr>
      <t>Därav</t>
    </r>
    <r>
      <rPr>
        <sz val="7"/>
        <rFont val="Helvetica"/>
        <family val="2"/>
      </rPr>
      <t xml:space="preserve"> Jämförelsestörande kostnader </t>
    </r>
    <r>
      <rPr>
        <b/>
        <sz val="7"/>
        <rFont val="Helvetica"/>
        <family val="2"/>
      </rPr>
      <t xml:space="preserve">på rad 020 </t>
    </r>
    <r>
      <rPr>
        <sz val="7"/>
        <rFont val="Helvetica"/>
        <family val="2"/>
      </rPr>
      <t xml:space="preserve"> </t>
    </r>
  </si>
  <si>
    <r>
      <rPr>
        <b/>
        <sz val="7"/>
        <rFont val="Helvetica"/>
        <family val="2"/>
      </rPr>
      <t>Därav</t>
    </r>
    <r>
      <rPr>
        <sz val="7"/>
        <rFont val="Helvetica"/>
        <family val="2"/>
      </rPr>
      <t xml:space="preserve"> Jämförelsestörande av-/nedskrivningar </t>
    </r>
    <r>
      <rPr>
        <b/>
        <sz val="7"/>
        <rFont val="Helvetica"/>
        <family val="2"/>
      </rPr>
      <t>på rad 025</t>
    </r>
  </si>
  <si>
    <r>
      <rPr>
        <b/>
        <sz val="7"/>
        <rFont val="Helvetica"/>
        <family val="2"/>
      </rPr>
      <t xml:space="preserve">Därav </t>
    </r>
    <r>
      <rPr>
        <sz val="7"/>
        <rFont val="Helvetica"/>
        <family val="2"/>
      </rPr>
      <t>Jämförelsestörande finansiella intäkter</t>
    </r>
    <r>
      <rPr>
        <b/>
        <sz val="7"/>
        <rFont val="Helvetica"/>
        <family val="2"/>
      </rPr>
      <t xml:space="preserve"> på rad 060</t>
    </r>
  </si>
  <si>
    <r>
      <rPr>
        <b/>
        <sz val="7"/>
        <rFont val="Helvetica"/>
        <family val="2"/>
      </rPr>
      <t xml:space="preserve">Därav </t>
    </r>
    <r>
      <rPr>
        <sz val="7"/>
        <rFont val="Helvetica"/>
        <family val="2"/>
      </rPr>
      <t>Jämförelsestörande finansiella kostnader</t>
    </r>
    <r>
      <rPr>
        <b/>
        <sz val="7"/>
        <rFont val="Helvetica"/>
        <family val="2"/>
      </rPr>
      <t xml:space="preserve"> på rad 070</t>
    </r>
  </si>
  <si>
    <t>2019</t>
  </si>
  <si>
    <t>Justering av EK, ingående värde</t>
  </si>
  <si>
    <t>Generella statsbidrag och utjämning</t>
  </si>
  <si>
    <t>Resultat efter finansiella poster</t>
  </si>
  <si>
    <t>Extraordinära poster (netto)</t>
  </si>
  <si>
    <t>Försälj.av v-het o konsult- o andra tjänster, MP övr., återv.Kufo.</t>
  </si>
  <si>
    <t>Förändring pensionsavs inkl.särsk.lönesk på avs. pens.</t>
  </si>
  <si>
    <t>Fastighetsskatt o -avgift, Fordons- o. Trängselskatt</t>
  </si>
  <si>
    <t>Kommunal borgensavgift</t>
  </si>
  <si>
    <t>Regioner</t>
  </si>
  <si>
    <t>[361]                      Motpart 82 och 83</t>
  </si>
  <si>
    <t>Förs. av v-het. till annan komm.o kommunalförbund</t>
  </si>
  <si>
    <t>Försälj.av v-het o konsult- o andra tjänster, MP kommun</t>
  </si>
  <si>
    <t>Försälj.av v-het o konsult- o andra tjänster, MP kommunalförbund</t>
  </si>
  <si>
    <t>Försäljning av verksamhet, motpart kommunalförbund</t>
  </si>
  <si>
    <t>Försäljning av verksamhet, motpart region</t>
  </si>
  <si>
    <t>Särskild momsersättning vid köp av ej skattepl. verksamh.</t>
  </si>
  <si>
    <t>Summa kortfristiga placeringar (i värdepapper)</t>
  </si>
  <si>
    <t>Kassa och bank</t>
  </si>
  <si>
    <t>Övrig Justeringar i Eget kapital</t>
  </si>
  <si>
    <t>Avsättn. för återställ. av deponier/soptippar</t>
  </si>
  <si>
    <t>Fastighets-, anläggnings- o reparationsentrenader</t>
  </si>
  <si>
    <t>Transporter/resor, ej anställda o förtroendevalda</t>
  </si>
  <si>
    <t>Lokal- och bostadshyror</t>
  </si>
  <si>
    <r>
      <rPr>
        <strike/>
        <sz val="7"/>
        <rFont val="Helvetica"/>
        <family val="2"/>
      </rPr>
      <t>I</t>
    </r>
    <r>
      <rPr>
        <sz val="7"/>
        <rFont val="Helvetica"/>
        <family val="2"/>
      </rPr>
      <t>nhyrd personal</t>
    </r>
  </si>
  <si>
    <r>
      <t>Försäkrings</t>
    </r>
    <r>
      <rPr>
        <sz val="7"/>
        <rFont val="Helvetica"/>
        <family val="2"/>
      </rPr>
      <t>premier</t>
    </r>
  </si>
  <si>
    <t>6192, 692, 696, 73, 76</t>
  </si>
  <si>
    <t>Fastighetsskatt och -avgift, fordons- o trängselskatt, Försäkringspremier o riskkostnader, div.kostnad.</t>
  </si>
  <si>
    <t>Förlust vid avyttring o utrang. av mat. o. immat. anl.tillg.</t>
  </si>
  <si>
    <t>kommunalförb.</t>
  </si>
  <si>
    <t>och regioner</t>
  </si>
  <si>
    <r>
      <t>Därav försäljn. av v-het till kommuner, kommunalförb. och</t>
    </r>
    <r>
      <rPr>
        <strike/>
        <sz val="7"/>
        <color rgb="FFFF0000"/>
        <rFont val="Helvetica"/>
        <family val="2"/>
      </rPr>
      <t xml:space="preserve"> </t>
    </r>
    <r>
      <rPr>
        <sz val="7"/>
        <rFont val="Helvetica"/>
        <family val="2"/>
      </rPr>
      <t>regioner</t>
    </r>
  </si>
  <si>
    <t>intäkter o förs.</t>
  </si>
  <si>
    <t>till andra kommuner</t>
  </si>
  <si>
    <t>361 motpart 82, 83, 84</t>
  </si>
  <si>
    <t>[361] motpart 82, 83, 84</t>
  </si>
  <si>
    <t>Försäljning av verksamhet till andra kommuner, kommunalförb. och regioner</t>
  </si>
  <si>
    <t>Bruttokostnad ./. Interna intäkter o.</t>
  </si>
  <si>
    <t>förs. av v-samhet</t>
  </si>
  <si>
    <t>Bruttokostnad  ./. Interna intäkter och försäljning till andra kommuner, kommunalförb. och regioner</t>
  </si>
  <si>
    <t>Kost.ers.o.rikt.bidrag motpart regioner</t>
  </si>
  <si>
    <t>Övriga finansiella intäkter</t>
  </si>
  <si>
    <t>Finansiel kostnad, förändring av pensionsavättningar</t>
  </si>
  <si>
    <t>Övriga finansiella kostnader</t>
  </si>
  <si>
    <t>Räntekostn. för lev.skulder o bankkostn. o liknande</t>
  </si>
  <si>
    <t>Förslust vid avyttring o värdering, finansiella anl.tillg</t>
  </si>
  <si>
    <t>Förlust vid avyttring o värdering, finansiella oms.tillg.</t>
  </si>
  <si>
    <t>0731</t>
  </si>
  <si>
    <t>524</t>
  </si>
  <si>
    <t>328</t>
  </si>
  <si>
    <t>Försälj.av v-het o konsult- o andra tjänster, MP region</t>
  </si>
  <si>
    <r>
      <t>Därav personal</t>
    </r>
    <r>
      <rPr>
        <sz val="7"/>
        <rFont val="Helvetica"/>
        <family val="2"/>
      </rPr>
      <t>kostnad</t>
    </r>
  </si>
  <si>
    <t>Därav personalkostnad</t>
  </si>
  <si>
    <t>577</t>
  </si>
  <si>
    <t>Resultat efter finansiella poster / Skatteintäkter, generella statsbidrag och utj.</t>
  </si>
  <si>
    <t>Likvida medel (kassa, bank)  i % av externa driftkostnader</t>
  </si>
  <si>
    <t>[50-51, 53, 54, 55x2, 5598, 591 samt PO]</t>
  </si>
  <si>
    <t>[50-51, 53, 54, 55x2, 5598, 591] samt PO</t>
  </si>
  <si>
    <t>Skuld för avgifter samt offentliga bidrag (investeringar)</t>
  </si>
  <si>
    <t>Anslutnings- och anläggningsavg. (investeringar)</t>
  </si>
  <si>
    <t>Offentliga bidrag (investeringar)</t>
  </si>
  <si>
    <t>50, 51, 53, 54, 55x2, 5598</t>
  </si>
  <si>
    <t>56 [ej 5635]</t>
  </si>
  <si>
    <t>572, 5635</t>
  </si>
  <si>
    <t>Aktivering av eget arbete vid utv. av anläggningstillg.</t>
  </si>
  <si>
    <t>Verksamhetens resultat</t>
  </si>
  <si>
    <t>[50-51, 53, 54, 55x2, 5598, del av 591]</t>
  </si>
  <si>
    <t>Soc.avg o pens.utbet./kostn. (56(ej 5635), del av 591, 57 (ej572)</t>
  </si>
  <si>
    <t>Förändr.pens.avs.[572] o.särsk.lönesk.pens.avs.[5635], del av 591</t>
  </si>
  <si>
    <t>Därav försäljn. av verksamhet till annan kommun/kommunalförbund</t>
  </si>
  <si>
    <t>Försäljning av platser till annan kommun/kommunalförb. per invånare 16-18 år.</t>
  </si>
  <si>
    <t>Köp av platser i annan kommun/kommunalförb. per invånare 16-18 år.</t>
  </si>
  <si>
    <t>Köp av platser från region per invånare 7-15 år.</t>
  </si>
  <si>
    <t>Köp av plater från region per invånare 16-18 år.</t>
  </si>
  <si>
    <t>Operat. leasing/hyra av mask.,invent.,bilar o transp.medel</t>
  </si>
  <si>
    <t>Kommunalförbund och SKR</t>
  </si>
  <si>
    <t>Kostn.ers. o rikt bidrag, MP Arbetsförmedlingen</t>
  </si>
  <si>
    <t>Kostn.ers. o rikt.bidrag, MP kommuner, komm.förb. o region</t>
  </si>
  <si>
    <t>Kostn.ers. o rikt. bidrag, MP staten o statl. myndigh exkl AF, ej invest</t>
  </si>
  <si>
    <t>Förs. av v-het. till region</t>
  </si>
  <si>
    <t xml:space="preserve">Investeringar fördelade på verksamheter </t>
  </si>
  <si>
    <t xml:space="preserve">Tilläggsuppgifter avseende kommunens investeringsredovisning </t>
  </si>
  <si>
    <t xml:space="preserve">Tilläggsuppgifter avseende investeringar i företag/bolag/stiftelser/kommunalförbund som konsolideras i den sammanställda redovisningen </t>
  </si>
  <si>
    <t>Skulder för statsbidrag, fastighetsavgift, fastighetsskatt mm.</t>
  </si>
  <si>
    <t>fordringar för statliga bidrag och kostnadsers.</t>
  </si>
  <si>
    <t>Uppbokade offentliga bidrag (investeringar)</t>
  </si>
  <si>
    <t>del av 24</t>
  </si>
  <si>
    <t>352</t>
  </si>
  <si>
    <t>352, 359</t>
  </si>
  <si>
    <r>
      <rPr>
        <b/>
        <sz val="7"/>
        <rFont val="Helvetica"/>
        <family val="2"/>
      </rPr>
      <t xml:space="preserve">Not 1: </t>
    </r>
    <r>
      <rPr>
        <sz val="7"/>
        <rFont val="Helvetica"/>
        <family val="2"/>
      </rPr>
      <t xml:space="preserve">402,403, 41, 43, 64 ej 644, 654, 655  </t>
    </r>
  </si>
  <si>
    <t>Återvunna, tidigare avskrivna kundfordringar</t>
  </si>
  <si>
    <t>Intäkter från exploateringsverksamhet sam försälj. av OT</t>
  </si>
  <si>
    <t>22</t>
  </si>
  <si>
    <t>231</t>
  </si>
  <si>
    <t>Obligations- och förlagslån</t>
  </si>
  <si>
    <t>Övriga ersättningar, exploateringsverksamhet</t>
  </si>
  <si>
    <t xml:space="preserve">   därav investeringsinkomster från företag</t>
  </si>
  <si>
    <t xml:space="preserve">   därav övriga investeringsinkomster</t>
  </si>
  <si>
    <t>329</t>
  </si>
  <si>
    <t>105</t>
  </si>
  <si>
    <t>Investeringsinkomster som utbetalats till kommunen eller som kommunen erhållit, under året</t>
  </si>
  <si>
    <t>Bidrag/gåvor från privata aktörer</t>
  </si>
  <si>
    <t>Bidrag/gåvor från privata aktörer och Övriga bidrag</t>
  </si>
  <si>
    <t>För vidareutlåning till koncernföretagen</t>
  </si>
  <si>
    <t>[40"ej 401", 41"ej 418", 43, 617, 618, 62, 64-65, 691]</t>
  </si>
  <si>
    <r>
      <t xml:space="preserve">AFFÄRSVERKSAMHET                            
</t>
    </r>
    <r>
      <rPr>
        <b/>
        <sz val="7"/>
        <rFont val="Helvetica"/>
        <family val="2"/>
      </rPr>
      <t xml:space="preserve">Näringsliv och bostäder                                 </t>
    </r>
    <r>
      <rPr>
        <sz val="7"/>
        <rFont val="Helvetica"/>
        <family val="2"/>
      </rPr>
      <t>Arbetsområden och lokaler</t>
    </r>
  </si>
  <si>
    <t xml:space="preserve">På rad 740 borde det finnas ett belopp eller beloppet borde vara högre.
</t>
  </si>
  <si>
    <t>Försäljning och värdering, finans. omsättningstillg.</t>
  </si>
  <si>
    <t>Försäljning och värdering, finans. anläggningstillg.</t>
  </si>
  <si>
    <t>Aktier samt andelar i finansiella instrument</t>
  </si>
  <si>
    <t>Ersättningar från FK för personliga assistenter</t>
  </si>
  <si>
    <t>Bidrag till juridiska personer</t>
  </si>
  <si>
    <t>Ersättning till FK för personliga assistenter</t>
  </si>
  <si>
    <t>Anskaffningskostnad, såld exploateringsfastighet</t>
  </si>
  <si>
    <t>Anskaff.kostnad, såld exploat.fastig [418]</t>
  </si>
  <si>
    <t>[342, 351 [ej mp 81], 352, 354, 356, 357, 359]</t>
  </si>
  <si>
    <t>Nyupptagna långfristiga lån</t>
  </si>
  <si>
    <t>Borgen o andra förplikt. gentemot övriga bostadsföretag och bostadsrättsföreningar</t>
  </si>
  <si>
    <t>Obligationer och andra värdepapper (exkl certifikat)</t>
  </si>
  <si>
    <t>BAS 21</t>
  </si>
  <si>
    <t>[55x1, 5597, 60,"ej 601", 61"ej 617,618", 63, 66, 68, 69"ej 691", 70-72, 731-734, 74, 75, 76, 787]</t>
  </si>
  <si>
    <t>[601 (interna poster)]</t>
  </si>
  <si>
    <t xml:space="preserve">Försäljning av mark, brutto </t>
  </si>
  <si>
    <t>79,                  852 (interna poster) ]</t>
  </si>
  <si>
    <t>+/- Omklassificeringar mellan kontogrupper</t>
  </si>
  <si>
    <t>RIKSTOTAL</t>
  </si>
  <si>
    <t>Kommunernas finanser</t>
  </si>
  <si>
    <t>Räkenskapssammandraget 2021</t>
  </si>
  <si>
    <t>Värde Mnkr</t>
  </si>
  <si>
    <t>Därav interna intäkter</t>
  </si>
  <si>
    <t>Publiceringsdatum: 20220831</t>
  </si>
  <si>
    <r>
      <t xml:space="preserve">Nedan fördelas summan av beloppen i kol. C och D på rad 987, inköp/nyansk. inkl. pågående arbeten. Invest. i immateriella anl.tillg. ska ingå. Finansiella inköp ska </t>
    </r>
    <r>
      <rPr>
        <b/>
        <u/>
        <sz val="9"/>
        <rFont val="Arial"/>
        <family val="2"/>
      </rPr>
      <t>ej</t>
    </r>
    <r>
      <rPr>
        <b/>
        <sz val="9"/>
        <rFont val="Arial"/>
        <family val="2"/>
      </rPr>
      <t xml:space="preserve"> ingå.</t>
    </r>
  </si>
  <si>
    <t>kommunalförb 
och regioner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</si>
</sst>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kr&quot;#,##0_);[Red]\(&quot;kr&quot;#,##0\)"/>
    <numFmt numFmtId="165" formatCode="000"/>
    <numFmt numFmtId="166" formatCode="###,###,###"/>
    <numFmt numFmtId="167" formatCode=";;;"/>
    <numFmt numFmtId="168" formatCode="#,##0.0000"/>
    <numFmt numFmtId="169" formatCode="0.0000"/>
    <numFmt numFmtId="170" formatCode="###,##0"/>
    <numFmt numFmtId="171" formatCode="#,###"/>
    <numFmt numFmtId="172" formatCode="#,##0.0000000"/>
    <numFmt numFmtId="173" formatCode="#\ ##0"/>
  </numFmts>
  <fonts count="143">
    <font>
      <sz val="10"/>
      <name val="Arial"/>
    </font>
    <font>
      <sz val="10"/>
      <name val="Helvetica"/>
      <family val="2"/>
    </font>
    <font>
      <sz val="8"/>
      <name val="Helvetica"/>
      <family val="2"/>
    </font>
    <font>
      <sz val="7"/>
      <name val="Helvetica"/>
      <family val="2"/>
    </font>
    <font>
      <b/>
      <sz val="8"/>
      <name val="Helvetica"/>
      <family val="2"/>
    </font>
    <font>
      <b/>
      <sz val="7"/>
      <name val="Helvetica"/>
      <family val="2"/>
    </font>
    <font>
      <b/>
      <sz val="11"/>
      <name val="Helvetica"/>
      <family val="2"/>
    </font>
    <font>
      <sz val="7"/>
      <name val="Arial"/>
      <family val="2"/>
    </font>
    <font>
      <sz val="7"/>
      <name val="Helvetica"/>
      <family val="2"/>
    </font>
    <font>
      <sz val="8"/>
      <name val="Arial"/>
      <family val="2"/>
    </font>
    <font>
      <sz val="8"/>
      <color indexed="8"/>
      <name val="Helvetica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etica"/>
      <family val="2"/>
    </font>
    <font>
      <b/>
      <sz val="7"/>
      <name val="Helvetica"/>
      <family val="2"/>
    </font>
    <font>
      <b/>
      <sz val="10"/>
      <name val="Helvetica"/>
      <family val="2"/>
    </font>
    <font>
      <sz val="7"/>
      <color indexed="8"/>
      <name val="Helvetica"/>
      <family val="2"/>
    </font>
    <font>
      <sz val="12"/>
      <name val="Times New Roman"/>
      <family val="1"/>
    </font>
    <font>
      <b/>
      <sz val="12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Helvetica"/>
      <family val="2"/>
    </font>
    <font>
      <b/>
      <sz val="7"/>
      <name val="Coronet"/>
      <family val="2"/>
    </font>
    <font>
      <b/>
      <sz val="8"/>
      <name val="Coronet"/>
      <family val="2"/>
    </font>
    <font>
      <b/>
      <sz val="11"/>
      <name val="Coronet"/>
      <family val="2"/>
    </font>
    <font>
      <b/>
      <sz val="12"/>
      <color indexed="9"/>
      <name val="Arial Black"/>
      <family val="2"/>
    </font>
    <font>
      <sz val="10"/>
      <color indexed="9"/>
      <name val="Coronet"/>
      <family val="2"/>
    </font>
    <font>
      <b/>
      <sz val="9"/>
      <color indexed="9"/>
      <name val="Coronet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0"/>
      <name val="Helvetica"/>
      <family val="2"/>
    </font>
    <font>
      <sz val="7"/>
      <color indexed="10"/>
      <name val="Helvetica"/>
      <family val="2"/>
    </font>
    <font>
      <sz val="8"/>
      <color indexed="10"/>
      <name val="Helvetica"/>
      <family val="2"/>
    </font>
    <font>
      <sz val="7"/>
      <color indexed="10"/>
      <name val="Arial"/>
      <family val="2"/>
    </font>
    <font>
      <sz val="9"/>
      <name val="Helvetica"/>
      <family val="2"/>
    </font>
    <font>
      <sz val="10"/>
      <color indexed="9"/>
      <name val="Arial"/>
      <family val="2"/>
    </font>
    <font>
      <sz val="7"/>
      <color indexed="37"/>
      <name val="Helvetica"/>
      <family val="2"/>
    </font>
    <font>
      <sz val="8"/>
      <color indexed="37"/>
      <name val="Helvetica"/>
      <family val="2"/>
    </font>
    <font>
      <sz val="7"/>
      <color indexed="8"/>
      <name val="Arial"/>
      <family val="2"/>
    </font>
    <font>
      <sz val="10"/>
      <color indexed="39"/>
      <name val="Arial"/>
      <family val="2"/>
    </font>
    <font>
      <sz val="8"/>
      <color indexed="39"/>
      <name val="Helvetica"/>
      <family val="2"/>
    </font>
    <font>
      <b/>
      <sz val="7"/>
      <color indexed="10"/>
      <name val="Helvetica"/>
      <family val="2"/>
    </font>
    <font>
      <sz val="7"/>
      <color indexed="39"/>
      <name val="Arial"/>
      <family val="2"/>
    </font>
    <font>
      <sz val="8"/>
      <color indexed="12"/>
      <name val="Helvetica"/>
      <family val="2"/>
    </font>
    <font>
      <sz val="8"/>
      <color indexed="39"/>
      <name val="Arial"/>
      <family val="2"/>
    </font>
    <font>
      <b/>
      <sz val="7"/>
      <color indexed="10"/>
      <name val="Arial"/>
      <family val="2"/>
    </font>
    <font>
      <b/>
      <sz val="10"/>
      <name val="Arial"/>
      <family val="2"/>
    </font>
    <font>
      <sz val="9"/>
      <color indexed="39"/>
      <name val="Helvetica"/>
      <family val="2"/>
    </font>
    <font>
      <b/>
      <sz val="10"/>
      <color indexed="37"/>
      <name val="Helvetica"/>
      <family val="2"/>
    </font>
    <font>
      <b/>
      <sz val="9"/>
      <color indexed="8"/>
      <name val="Arial Black"/>
      <family val="2"/>
    </font>
    <font>
      <b/>
      <sz val="12"/>
      <name val="Arial"/>
      <family val="2"/>
    </font>
    <font>
      <b/>
      <sz val="10"/>
      <color indexed="37"/>
      <name val="Arial"/>
      <family val="2"/>
    </font>
    <font>
      <u/>
      <sz val="10"/>
      <color indexed="36"/>
      <name val="Arial"/>
      <family val="2"/>
    </font>
    <font>
      <sz val="7"/>
      <color indexed="10"/>
      <name val="Helvetica"/>
      <family val="2"/>
    </font>
    <font>
      <sz val="11"/>
      <color indexed="9"/>
      <name val="Calibri"/>
      <family val="2"/>
    </font>
    <font>
      <sz val="10"/>
      <color indexed="9"/>
      <name val="Helvetica"/>
      <family val="2"/>
    </font>
    <font>
      <b/>
      <sz val="9"/>
      <color indexed="9"/>
      <name val="Helvetica"/>
      <family val="2"/>
    </font>
    <font>
      <sz val="7"/>
      <color indexed="8"/>
      <name val="Helvetica"/>
      <family val="2"/>
    </font>
    <font>
      <b/>
      <sz val="8"/>
      <color indexed="8"/>
      <name val="Helvetica"/>
      <family val="2"/>
    </font>
    <font>
      <sz val="7"/>
      <color indexed="8"/>
      <name val="Calibri"/>
      <family val="2"/>
    </font>
    <font>
      <b/>
      <sz val="7"/>
      <color indexed="8"/>
      <name val="Helvetica"/>
      <family val="2"/>
    </font>
    <font>
      <sz val="10"/>
      <color indexed="8"/>
      <name val="Arial"/>
      <family val="2"/>
    </font>
    <font>
      <sz val="10"/>
      <color indexed="8"/>
      <name val="Helvetica"/>
      <family val="2"/>
    </font>
    <font>
      <sz val="7"/>
      <color indexed="10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Helvetica"/>
      <family val="2"/>
    </font>
    <font>
      <b/>
      <sz val="12"/>
      <color indexed="8"/>
      <name val="Arial"/>
      <family val="2"/>
    </font>
    <font>
      <b/>
      <sz val="8"/>
      <color indexed="8"/>
      <name val="Helvetica"/>
      <family val="2"/>
    </font>
    <font>
      <b/>
      <sz val="7"/>
      <name val="Calibri"/>
      <family val="2"/>
    </font>
    <font>
      <b/>
      <sz val="12"/>
      <color indexed="8"/>
      <name val="Helvetica"/>
      <family val="2"/>
    </font>
    <font>
      <b/>
      <sz val="11"/>
      <color indexed="8"/>
      <name val="Helvetica"/>
      <family val="2"/>
    </font>
    <font>
      <b/>
      <sz val="10"/>
      <color indexed="8"/>
      <name val="Helvetica"/>
      <family val="2"/>
    </font>
    <font>
      <sz val="8"/>
      <color indexed="9"/>
      <name val="Helvetica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Helvetica"/>
      <family val="2"/>
    </font>
    <font>
      <sz val="7"/>
      <color indexed="16"/>
      <name val="Helvetica"/>
      <family val="2"/>
    </font>
    <font>
      <sz val="10"/>
      <color indexed="16"/>
      <name val="Cambria"/>
      <family val="1"/>
    </font>
    <font>
      <b/>
      <sz val="7"/>
      <color indexed="9"/>
      <name val="Helvetica"/>
      <family val="2"/>
    </font>
    <font>
      <b/>
      <vertAlign val="superscript"/>
      <sz val="7"/>
      <name val="Helvetica"/>
      <family val="2"/>
    </font>
    <font>
      <b/>
      <vertAlign val="superscript"/>
      <sz val="7"/>
      <name val="Calibri"/>
      <family val="2"/>
    </font>
    <font>
      <vertAlign val="superscript"/>
      <sz val="7"/>
      <name val="Helvetica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indexed="10"/>
      <name val="Arial"/>
      <family val="2"/>
    </font>
    <font>
      <sz val="10"/>
      <color indexed="39"/>
      <name val="Helvetica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4"/>
      <name val="Arial"/>
      <family val="2"/>
    </font>
    <font>
      <sz val="10"/>
      <color indexed="39"/>
      <name val="Arial"/>
      <family val="2"/>
    </font>
    <font>
      <sz val="6"/>
      <color indexed="10"/>
      <name val="Helvetica"/>
      <family val="2"/>
    </font>
    <font>
      <sz val="7"/>
      <name val="Helvetica "/>
    </font>
    <font>
      <sz val="8"/>
      <color indexed="9"/>
      <name val="Helvetica"/>
      <family val="2"/>
    </font>
    <font>
      <sz val="8"/>
      <color indexed="9"/>
      <name val="Cambria"/>
      <family val="1"/>
    </font>
    <font>
      <sz val="10"/>
      <color indexed="9"/>
      <name val="Cambria"/>
      <family val="1"/>
    </font>
    <font>
      <sz val="7"/>
      <name val="Cambria"/>
      <family val="1"/>
    </font>
    <font>
      <sz val="6.5"/>
      <name val="Helvetica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7"/>
      <color rgb="FFFF0000"/>
      <name val="Helvetica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Helvetica"/>
      <family val="2"/>
    </font>
    <font>
      <b/>
      <sz val="11"/>
      <color theme="0"/>
      <name val="Arial"/>
      <family val="2"/>
    </font>
    <font>
      <sz val="7"/>
      <color theme="0"/>
      <name val="Helvetica"/>
      <family val="2"/>
    </font>
    <font>
      <sz val="7"/>
      <color theme="7" tint="0.59999389629810485"/>
      <name val="Helvetica"/>
      <family val="2"/>
    </font>
    <font>
      <sz val="7"/>
      <color rgb="FFFFFFCC"/>
      <name val="Helvetica"/>
      <family val="2"/>
    </font>
    <font>
      <sz val="10"/>
      <color rgb="FFFFFFCC"/>
      <name val="Arial"/>
      <family val="2"/>
    </font>
    <font>
      <sz val="2"/>
      <color theme="0"/>
      <name val="Helvetica"/>
      <family val="2"/>
    </font>
    <font>
      <sz val="8"/>
      <color rgb="FF00B050"/>
      <name val="Helvetica"/>
      <family val="2"/>
    </font>
    <font>
      <sz val="8"/>
      <color theme="1"/>
      <name val="Helvetica"/>
      <family val="2"/>
    </font>
    <font>
      <b/>
      <sz val="7"/>
      <color theme="1"/>
      <name val="Helvetica"/>
      <family val="2"/>
    </font>
    <font>
      <b/>
      <sz val="8"/>
      <color theme="1"/>
      <name val="Helvetica"/>
      <family val="2"/>
    </font>
    <font>
      <sz val="8"/>
      <color rgb="FFFFFFCC"/>
      <name val="Helvetica"/>
      <family val="2"/>
    </font>
    <font>
      <b/>
      <sz val="7"/>
      <color rgb="FFFFFFCC"/>
      <name val="Helvetica"/>
      <family val="2"/>
    </font>
    <font>
      <sz val="7"/>
      <color rgb="FFFF0000"/>
      <name val="Helvetica"/>
      <family val="2"/>
    </font>
    <font>
      <sz val="7"/>
      <color indexed="10"/>
      <name val="Helvetica"/>
      <family val="2"/>
    </font>
    <font>
      <sz val="7"/>
      <name val="Helvetica"/>
      <family val="2"/>
    </font>
    <font>
      <b/>
      <sz val="7"/>
      <name val="Helvetica"/>
      <family val="2"/>
    </font>
    <font>
      <b/>
      <sz val="7"/>
      <color rgb="FFFFFFCC"/>
      <name val="Helvetica"/>
      <family val="2"/>
    </font>
    <font>
      <sz val="7"/>
      <color rgb="FFFFFFCC"/>
      <name val="Helvetica"/>
      <family val="2"/>
    </font>
    <font>
      <sz val="7"/>
      <color rgb="FFFFFFCC"/>
      <name val="Arial"/>
      <family val="2"/>
    </font>
    <font>
      <sz val="7"/>
      <color rgb="FFFFFFCC"/>
      <name val="Helvetia"/>
    </font>
    <font>
      <sz val="7"/>
      <name val="Helvetia"/>
    </font>
    <font>
      <sz val="8"/>
      <color theme="0"/>
      <name val="Arial"/>
      <family val="2"/>
    </font>
    <font>
      <i/>
      <sz val="8"/>
      <color rgb="FFFF0000"/>
      <name val="Helvetica"/>
      <family val="2"/>
    </font>
    <font>
      <sz val="10"/>
      <color theme="0"/>
      <name val="Arial"/>
      <family val="2"/>
    </font>
    <font>
      <sz val="8"/>
      <color theme="0"/>
      <name val="Helvetica"/>
      <family val="2"/>
    </font>
    <font>
      <strike/>
      <sz val="7"/>
      <color rgb="FFFF0000"/>
      <name val="Helvetica"/>
      <family val="2"/>
    </font>
    <font>
      <strike/>
      <sz val="7"/>
      <name val="Helvetica"/>
      <family val="2"/>
    </font>
    <font>
      <b/>
      <sz val="7"/>
      <color theme="0"/>
      <name val="Helvetica"/>
      <family val="2"/>
    </font>
    <font>
      <sz val="7"/>
      <color rgb="FFFF0000"/>
      <name val="Helvetica"/>
    </font>
    <font>
      <b/>
      <sz val="10"/>
      <color rgb="FFFFFFC0"/>
      <name val="Helvetica"/>
      <family val="2"/>
    </font>
    <font>
      <sz val="26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lightGray">
        <fgColor indexed="22"/>
        <bgColor indexed="9"/>
      </patternFill>
    </fill>
    <fill>
      <patternFill patternType="lightGray">
        <fgColor indexed="40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31"/>
      </patternFill>
    </fill>
    <fill>
      <patternFill patternType="lightGray">
        <fgColor indexed="22"/>
      </patternFill>
    </fill>
    <fill>
      <patternFill patternType="gray125">
        <fgColor indexed="22"/>
      </patternFill>
    </fill>
    <fill>
      <patternFill patternType="solid">
        <fgColor indexed="65"/>
        <bgColor indexed="64"/>
      </patternFill>
    </fill>
    <fill>
      <patternFill patternType="lightDown">
        <fgColor indexed="9"/>
        <bgColor indexed="26"/>
      </patternFill>
    </fill>
    <fill>
      <patternFill patternType="solid">
        <fgColor indexed="26"/>
        <bgColor indexed="22"/>
      </patternFill>
    </fill>
    <fill>
      <patternFill patternType="solid">
        <fgColor indexed="65"/>
        <bgColor indexed="22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rgb="FFFFFFCC"/>
        <bgColor indexed="55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40"/>
      </patternFill>
    </fill>
    <fill>
      <patternFill patternType="gray125">
        <fgColor indexed="22"/>
        <bgColor rgb="FFFFFFFF"/>
      </patternFill>
    </fill>
    <fill>
      <patternFill patternType="lightGray">
        <fgColor indexed="40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22"/>
      </patternFill>
    </fill>
    <fill>
      <patternFill patternType="solid">
        <fgColor rgb="FFFFFFFF"/>
        <bgColor rgb="FFFFFFFF"/>
      </patternFill>
    </fill>
    <fill>
      <patternFill patternType="lightGray">
        <fgColor rgb="FF00CCFF"/>
        <bgColor rgb="FFFFFFFF"/>
      </patternFill>
    </fill>
  </fills>
  <borders count="3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39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39"/>
      </top>
      <bottom/>
      <diagonal/>
    </border>
    <border>
      <left style="hair">
        <color indexed="64"/>
      </left>
      <right style="medium">
        <color indexed="64"/>
      </right>
      <top style="thin">
        <color indexed="39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/>
      <diagonal/>
    </border>
    <border>
      <left style="hair">
        <color indexed="64"/>
      </left>
      <right style="medium">
        <color rgb="FF000000"/>
      </right>
      <top/>
      <bottom/>
      <diagonal/>
    </border>
    <border>
      <left style="hair">
        <color indexed="64"/>
      </left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hair">
        <color indexed="64"/>
      </left>
      <right style="medium">
        <color rgb="FF000000"/>
      </right>
      <top/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/>
      <bottom style="hair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hair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6">
    <xf numFmtId="0" fontId="0" fillId="0" borderId="0"/>
    <xf numFmtId="0" fontId="106" fillId="18" borderId="225" applyNumberFormat="0" applyFont="0" applyAlignment="0" applyProtection="0"/>
    <xf numFmtId="0" fontId="106" fillId="18" borderId="225" applyNumberFormat="0" applyFont="0" applyAlignment="0" applyProtection="0"/>
    <xf numFmtId="0" fontId="107" fillId="19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106" fillId="0" borderId="0"/>
    <xf numFmtId="0" fontId="106" fillId="0" borderId="0"/>
    <xf numFmtId="0" fontId="17" fillId="0" borderId="0"/>
    <xf numFmtId="0" fontId="33" fillId="0" borderId="0"/>
    <xf numFmtId="0" fontId="1" fillId="0" borderId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38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2630">
    <xf numFmtId="0" fontId="0" fillId="0" borderId="0" xfId="0"/>
    <xf numFmtId="0" fontId="1" fillId="0" borderId="0" xfId="0" applyFont="1" applyProtection="1"/>
    <xf numFmtId="0" fontId="18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0" fillId="2" borderId="0" xfId="0" applyFill="1" applyProtection="1"/>
    <xf numFmtId="0" fontId="1" fillId="2" borderId="0" xfId="0" applyFont="1" applyFill="1" applyProtection="1"/>
    <xf numFmtId="49" fontId="3" fillId="2" borderId="0" xfId="0" applyNumberFormat="1" applyFont="1" applyFill="1" applyBorder="1" applyAlignment="1" applyProtection="1">
      <alignment horizontal="left"/>
    </xf>
    <xf numFmtId="1" fontId="3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3" fontId="1" fillId="2" borderId="0" xfId="0" applyNumberFormat="1" applyFont="1" applyFill="1" applyBorder="1" applyProtection="1"/>
    <xf numFmtId="0" fontId="7" fillId="2" borderId="0" xfId="0" applyFont="1" applyFill="1" applyBorder="1" applyProtection="1"/>
    <xf numFmtId="0" fontId="8" fillId="2" borderId="0" xfId="0" applyFont="1" applyFill="1" applyBorder="1" applyProtection="1"/>
    <xf numFmtId="0" fontId="1" fillId="2" borderId="0" xfId="0" applyFont="1" applyFill="1" applyBorder="1" applyProtection="1"/>
    <xf numFmtId="0" fontId="8" fillId="2" borderId="0" xfId="0" applyFont="1" applyFill="1" applyProtection="1"/>
    <xf numFmtId="3" fontId="4" fillId="2" borderId="0" xfId="0" applyNumberFormat="1" applyFont="1" applyFill="1" applyBorder="1" applyProtection="1"/>
    <xf numFmtId="165" fontId="11" fillId="0" borderId="1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/>
    </xf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3" fontId="13" fillId="0" borderId="0" xfId="0" applyNumberFormat="1" applyFont="1" applyFill="1" applyBorder="1" applyProtection="1"/>
    <xf numFmtId="3" fontId="13" fillId="2" borderId="2" xfId="0" applyNumberFormat="1" applyFont="1" applyFill="1" applyBorder="1" applyAlignment="1" applyProtection="1">
      <alignment horizontal="right"/>
      <protection locked="0"/>
    </xf>
    <xf numFmtId="3" fontId="13" fillId="2" borderId="3" xfId="0" applyNumberFormat="1" applyFont="1" applyFill="1" applyBorder="1" applyAlignment="1" applyProtection="1">
      <alignment horizontal="right"/>
      <protection locked="0"/>
    </xf>
    <xf numFmtId="3" fontId="13" fillId="2" borderId="4" xfId="0" applyNumberFormat="1" applyFont="1" applyFill="1" applyBorder="1" applyAlignment="1" applyProtection="1">
      <alignment horizontal="right"/>
      <protection locked="0"/>
    </xf>
    <xf numFmtId="3" fontId="13" fillId="2" borderId="5" xfId="0" applyNumberFormat="1" applyFont="1" applyFill="1" applyBorder="1" applyAlignment="1" applyProtection="1">
      <alignment horizontal="right"/>
      <protection locked="0"/>
    </xf>
    <xf numFmtId="3" fontId="13" fillId="2" borderId="6" xfId="0" applyNumberFormat="1" applyFont="1" applyFill="1" applyBorder="1" applyAlignment="1" applyProtection="1">
      <alignment horizontal="right"/>
      <protection locked="0"/>
    </xf>
    <xf numFmtId="3" fontId="13" fillId="2" borderId="7" xfId="0" applyNumberFormat="1" applyFont="1" applyFill="1" applyBorder="1" applyAlignment="1" applyProtection="1">
      <alignment horizontal="right"/>
      <protection locked="0"/>
    </xf>
    <xf numFmtId="3" fontId="13" fillId="3" borderId="6" xfId="0" applyNumberFormat="1" applyFont="1" applyFill="1" applyBorder="1" applyAlignment="1" applyProtection="1">
      <alignment horizontal="right"/>
    </xf>
    <xf numFmtId="3" fontId="13" fillId="2" borderId="8" xfId="0" applyNumberFormat="1" applyFont="1" applyFill="1" applyBorder="1" applyAlignment="1" applyProtection="1">
      <alignment horizontal="right"/>
      <protection locked="0"/>
    </xf>
    <xf numFmtId="3" fontId="13" fillId="2" borderId="9" xfId="0" applyNumberFormat="1" applyFont="1" applyFill="1" applyBorder="1" applyAlignment="1" applyProtection="1">
      <alignment horizontal="right"/>
      <protection locked="0"/>
    </xf>
    <xf numFmtId="3" fontId="13" fillId="2" borderId="10" xfId="0" applyNumberFormat="1" applyFont="1" applyFill="1" applyBorder="1" applyAlignment="1" applyProtection="1">
      <alignment horizontal="right"/>
      <protection locked="0"/>
    </xf>
    <xf numFmtId="3" fontId="13" fillId="2" borderId="0" xfId="0" applyNumberFormat="1" applyFont="1" applyFill="1" applyBorder="1" applyProtection="1"/>
    <xf numFmtId="3" fontId="13" fillId="2" borderId="0" xfId="0" applyNumberFormat="1" applyFont="1" applyFill="1" applyBorder="1" applyAlignment="1" applyProtection="1">
      <alignment horizontal="right"/>
    </xf>
    <xf numFmtId="0" fontId="23" fillId="2" borderId="0" xfId="0" applyFont="1" applyFill="1" applyBorder="1" applyProtection="1"/>
    <xf numFmtId="3" fontId="8" fillId="2" borderId="0" xfId="0" applyNumberFormat="1" applyFont="1" applyFill="1" applyBorder="1" applyProtection="1"/>
    <xf numFmtId="3" fontId="8" fillId="2" borderId="0" xfId="0" applyNumberFormat="1" applyFont="1" applyFill="1" applyBorder="1" applyAlignment="1" applyProtection="1"/>
    <xf numFmtId="0" fontId="23" fillId="2" borderId="0" xfId="0" applyFont="1" applyFill="1" applyProtection="1"/>
    <xf numFmtId="0" fontId="53" fillId="2" borderId="0" xfId="0" applyFont="1" applyFill="1" applyBorder="1" applyAlignment="1" applyProtection="1">
      <alignment vertical="top"/>
    </xf>
    <xf numFmtId="167" fontId="8" fillId="2" borderId="0" xfId="0" applyNumberFormat="1" applyFont="1" applyFill="1" applyBorder="1" applyProtection="1"/>
    <xf numFmtId="3" fontId="13" fillId="2" borderId="0" xfId="0" applyNumberFormat="1" applyFont="1" applyFill="1" applyBorder="1" applyAlignment="1" applyProtection="1">
      <alignment horizontal="left"/>
    </xf>
    <xf numFmtId="3" fontId="5" fillId="2" borderId="0" xfId="0" applyNumberFormat="1" applyFont="1" applyFill="1" applyBorder="1" applyProtection="1"/>
    <xf numFmtId="0" fontId="13" fillId="2" borderId="0" xfId="0" applyFont="1" applyFill="1" applyBorder="1" applyProtection="1"/>
    <xf numFmtId="1" fontId="37" fillId="2" borderId="0" xfId="0" applyNumberFormat="1" applyFont="1" applyFill="1" applyBorder="1" applyAlignment="1" applyProtection="1">
      <alignment horizontal="left"/>
    </xf>
    <xf numFmtId="166" fontId="44" fillId="2" borderId="0" xfId="0" applyNumberFormat="1" applyFont="1" applyFill="1" applyBorder="1" applyProtection="1"/>
    <xf numFmtId="3" fontId="34" fillId="2" borderId="0" xfId="0" applyNumberFormat="1" applyFont="1" applyFill="1" applyProtection="1"/>
    <xf numFmtId="0" fontId="7" fillId="2" borderId="0" xfId="0" applyFont="1" applyFill="1" applyProtection="1"/>
    <xf numFmtId="0" fontId="3" fillId="2" borderId="0" xfId="0" applyFont="1" applyFill="1" applyProtection="1"/>
    <xf numFmtId="3" fontId="7" fillId="2" borderId="11" xfId="0" applyNumberFormat="1" applyFont="1" applyFill="1" applyBorder="1" applyProtection="1"/>
    <xf numFmtId="3" fontId="7" fillId="2" borderId="0" xfId="0" applyNumberFormat="1" applyFont="1" applyFill="1" applyBorder="1" applyProtection="1"/>
    <xf numFmtId="3" fontId="8" fillId="4" borderId="0" xfId="0" applyNumberFormat="1" applyFont="1" applyFill="1" applyBorder="1" applyProtection="1"/>
    <xf numFmtId="3" fontId="13" fillId="5" borderId="0" xfId="0" applyNumberFormat="1" applyFont="1" applyFill="1" applyBorder="1" applyAlignment="1" applyProtection="1">
      <alignment horizontal="right"/>
    </xf>
    <xf numFmtId="3" fontId="13" fillId="4" borderId="0" xfId="0" applyNumberFormat="1" applyFont="1" applyFill="1" applyBorder="1" applyAlignment="1" applyProtection="1">
      <alignment horizontal="right"/>
    </xf>
    <xf numFmtId="3" fontId="13" fillId="4" borderId="0" xfId="0" applyNumberFormat="1" applyFont="1" applyFill="1" applyBorder="1" applyAlignment="1" applyProtection="1">
      <alignment horizontal="left"/>
    </xf>
    <xf numFmtId="3" fontId="13" fillId="5" borderId="0" xfId="0" applyNumberFormat="1" applyFont="1" applyFill="1" applyBorder="1" applyAlignment="1" applyProtection="1"/>
    <xf numFmtId="3" fontId="13" fillId="5" borderId="0" xfId="0" applyNumberFormat="1" applyFont="1" applyFill="1" applyBorder="1" applyProtection="1"/>
    <xf numFmtId="3" fontId="2" fillId="2" borderId="5" xfId="0" applyNumberFormat="1" applyFont="1" applyFill="1" applyBorder="1" applyAlignment="1" applyProtection="1">
      <alignment horizontal="right"/>
      <protection locked="0"/>
    </xf>
    <xf numFmtId="3" fontId="2" fillId="2" borderId="12" xfId="0" applyNumberFormat="1" applyFont="1" applyFill="1" applyBorder="1" applyAlignment="1" applyProtection="1">
      <alignment horizontal="right"/>
      <protection locked="0"/>
    </xf>
    <xf numFmtId="3" fontId="50" fillId="2" borderId="0" xfId="0" applyNumberFormat="1" applyFont="1" applyFill="1" applyBorder="1" applyProtection="1"/>
    <xf numFmtId="3" fontId="13" fillId="6" borderId="0" xfId="0" applyNumberFormat="1" applyFont="1" applyFill="1" applyBorder="1" applyAlignment="1" applyProtection="1">
      <alignment horizontal="right"/>
    </xf>
    <xf numFmtId="3" fontId="13" fillId="6" borderId="0" xfId="0" applyNumberFormat="1" applyFont="1" applyFill="1" applyBorder="1" applyAlignment="1" applyProtection="1"/>
    <xf numFmtId="0" fontId="61" fillId="2" borderId="0" xfId="0" applyFont="1" applyFill="1" applyBorder="1" applyAlignment="1" applyProtection="1"/>
    <xf numFmtId="0" fontId="63" fillId="2" borderId="0" xfId="0" quotePrefix="1" applyFont="1" applyFill="1" applyBorder="1" applyAlignment="1" applyProtection="1"/>
    <xf numFmtId="0" fontId="64" fillId="2" borderId="0" xfId="0" applyNumberFormat="1" applyFont="1" applyFill="1" applyProtection="1">
      <protection hidden="1"/>
    </xf>
    <xf numFmtId="0" fontId="64" fillId="2" borderId="0" xfId="0" applyNumberFormat="1" applyFont="1" applyFill="1" applyProtection="1"/>
    <xf numFmtId="0" fontId="65" fillId="2" borderId="0" xfId="0" applyNumberFormat="1" applyFont="1" applyFill="1" applyProtection="1"/>
    <xf numFmtId="0" fontId="65" fillId="2" borderId="0" xfId="0" applyFont="1" applyFill="1" applyProtection="1"/>
    <xf numFmtId="3" fontId="3" fillId="2" borderId="0" xfId="0" applyNumberFormat="1" applyFont="1" applyFill="1" applyBorder="1" applyProtection="1"/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Protection="1"/>
    <xf numFmtId="167" fontId="9" fillId="2" borderId="0" xfId="0" applyNumberFormat="1" applyFont="1" applyFill="1" applyProtection="1"/>
    <xf numFmtId="0" fontId="35" fillId="2" borderId="0" xfId="0" applyFont="1" applyFill="1" applyProtection="1"/>
    <xf numFmtId="0" fontId="66" fillId="2" borderId="0" xfId="0" applyFont="1" applyFill="1" applyProtection="1"/>
    <xf numFmtId="0" fontId="34" fillId="2" borderId="0" xfId="0" applyFont="1" applyFill="1" applyBorder="1" applyAlignment="1" applyProtection="1">
      <alignment horizontal="left" vertical="top"/>
    </xf>
    <xf numFmtId="3" fontId="2" fillId="0" borderId="0" xfId="0" applyNumberFormat="1" applyFont="1" applyFill="1" applyBorder="1" applyAlignment="1" applyProtection="1">
      <alignment horizontal="right"/>
    </xf>
    <xf numFmtId="3" fontId="5" fillId="4" borderId="0" xfId="0" applyNumberFormat="1" applyFont="1" applyFill="1" applyBorder="1" applyProtection="1"/>
    <xf numFmtId="0" fontId="53" fillId="2" borderId="0" xfId="0" applyFont="1" applyFill="1" applyAlignment="1" applyProtection="1">
      <alignment vertical="top"/>
    </xf>
    <xf numFmtId="0" fontId="49" fillId="2" borderId="0" xfId="0" applyFont="1" applyFill="1" applyAlignment="1" applyProtection="1"/>
    <xf numFmtId="0" fontId="49" fillId="2" borderId="0" xfId="0" applyFont="1" applyFill="1" applyAlignment="1" applyProtection="1">
      <alignment vertical="top"/>
    </xf>
    <xf numFmtId="0" fontId="31" fillId="7" borderId="0" xfId="0" applyFont="1" applyFill="1" applyBorder="1" applyAlignment="1" applyProtection="1">
      <alignment horizontal="left"/>
    </xf>
    <xf numFmtId="0" fontId="28" fillId="7" borderId="0" xfId="0" applyFont="1" applyFill="1" applyBorder="1" applyAlignment="1" applyProtection="1">
      <alignment horizontal="left"/>
    </xf>
    <xf numFmtId="0" fontId="3" fillId="0" borderId="0" xfId="0" applyFont="1" applyFill="1" applyProtection="1"/>
    <xf numFmtId="3" fontId="2" fillId="8" borderId="13" xfId="0" applyNumberFormat="1" applyFont="1" applyFill="1" applyBorder="1" applyAlignment="1" applyProtection="1">
      <alignment horizontal="right"/>
    </xf>
    <xf numFmtId="3" fontId="2" fillId="9" borderId="14" xfId="0" applyNumberFormat="1" applyFont="1" applyFill="1" applyBorder="1" applyAlignment="1" applyProtection="1">
      <alignment horizontal="right"/>
    </xf>
    <xf numFmtId="3" fontId="2" fillId="9" borderId="9" xfId="0" applyNumberFormat="1" applyFont="1" applyFill="1" applyBorder="1" applyAlignment="1" applyProtection="1">
      <alignment horizontal="right"/>
    </xf>
    <xf numFmtId="3" fontId="2" fillId="9" borderId="7" xfId="0" applyNumberFormat="1" applyFont="1" applyFill="1" applyBorder="1" applyAlignment="1" applyProtection="1">
      <alignment horizontal="right"/>
    </xf>
    <xf numFmtId="3" fontId="2" fillId="9" borderId="15" xfId="0" applyNumberFormat="1" applyFont="1" applyFill="1" applyBorder="1" applyAlignment="1" applyProtection="1">
      <alignment horizontal="right"/>
    </xf>
    <xf numFmtId="3" fontId="2" fillId="9" borderId="17" xfId="0" applyNumberFormat="1" applyFont="1" applyFill="1" applyBorder="1" applyAlignment="1" applyProtection="1">
      <alignment horizontal="right"/>
    </xf>
    <xf numFmtId="3" fontId="2" fillId="9" borderId="5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1" fillId="7" borderId="0" xfId="0" applyFont="1" applyFill="1" applyAlignment="1" applyProtection="1">
      <alignment vertical="top"/>
    </xf>
    <xf numFmtId="0" fontId="29" fillId="7" borderId="0" xfId="0" applyFont="1" applyFill="1" applyProtection="1"/>
    <xf numFmtId="0" fontId="30" fillId="7" borderId="0" xfId="0" applyFont="1" applyFill="1" applyProtection="1"/>
    <xf numFmtId="0" fontId="31" fillId="7" borderId="0" xfId="0" quotePrefix="1" applyFont="1" applyFill="1" applyBorder="1" applyAlignment="1" applyProtection="1">
      <alignment horizontal="left"/>
    </xf>
    <xf numFmtId="0" fontId="58" fillId="7" borderId="0" xfId="0" applyFont="1" applyFill="1" applyProtection="1"/>
    <xf numFmtId="0" fontId="59" fillId="7" borderId="0" xfId="0" applyFont="1" applyFill="1" applyProtection="1"/>
    <xf numFmtId="167" fontId="59" fillId="7" borderId="0" xfId="0" applyNumberFormat="1" applyFont="1" applyFill="1" applyProtection="1"/>
    <xf numFmtId="3" fontId="2" fillId="9" borderId="9" xfId="0" applyNumberFormat="1" applyFont="1" applyFill="1" applyBorder="1" applyProtection="1"/>
    <xf numFmtId="3" fontId="2" fillId="9" borderId="5" xfId="0" applyNumberFormat="1" applyFont="1" applyFill="1" applyBorder="1" applyProtection="1"/>
    <xf numFmtId="3" fontId="2" fillId="2" borderId="18" xfId="0" applyNumberFormat="1" applyFont="1" applyFill="1" applyBorder="1" applyAlignment="1" applyProtection="1">
      <alignment horizontal="right"/>
      <protection locked="0"/>
    </xf>
    <xf numFmtId="3" fontId="13" fillId="2" borderId="18" xfId="0" applyNumberFormat="1" applyFont="1" applyFill="1" applyBorder="1" applyAlignment="1" applyProtection="1">
      <alignment horizontal="right"/>
      <protection locked="0"/>
    </xf>
    <xf numFmtId="3" fontId="13" fillId="2" borderId="19" xfId="0" applyNumberFormat="1" applyFont="1" applyFill="1" applyBorder="1" applyAlignment="1" applyProtection="1">
      <alignment horizontal="right"/>
      <protection locked="0"/>
    </xf>
    <xf numFmtId="3" fontId="13" fillId="2" borderId="20" xfId="0" applyNumberFormat="1" applyFont="1" applyFill="1" applyBorder="1" applyAlignment="1" applyProtection="1">
      <alignment horizontal="right"/>
      <protection locked="0"/>
    </xf>
    <xf numFmtId="3" fontId="13" fillId="2" borderId="21" xfId="0" applyNumberFormat="1" applyFont="1" applyFill="1" applyBorder="1" applyAlignment="1" applyProtection="1">
      <alignment horizontal="right"/>
      <protection locked="0"/>
    </xf>
    <xf numFmtId="3" fontId="13" fillId="2" borderId="22" xfId="0" applyNumberFormat="1" applyFont="1" applyFill="1" applyBorder="1" applyAlignment="1" applyProtection="1">
      <alignment horizontal="right"/>
      <protection locked="0"/>
    </xf>
    <xf numFmtId="3" fontId="13" fillId="3" borderId="19" xfId="0" applyNumberFormat="1" applyFont="1" applyFill="1" applyBorder="1" applyAlignment="1" applyProtection="1">
      <alignment horizontal="right"/>
    </xf>
    <xf numFmtId="3" fontId="13" fillId="2" borderId="23" xfId="0" applyNumberFormat="1" applyFont="1" applyFill="1" applyBorder="1" applyAlignment="1" applyProtection="1">
      <alignment horizontal="right"/>
      <protection locked="0"/>
    </xf>
    <xf numFmtId="3" fontId="13" fillId="2" borderId="24" xfId="0" applyNumberFormat="1" applyFont="1" applyFill="1" applyBorder="1" applyAlignment="1" applyProtection="1">
      <alignment horizontal="right"/>
      <protection locked="0"/>
    </xf>
    <xf numFmtId="3" fontId="13" fillId="2" borderId="25" xfId="0" applyNumberFormat="1" applyFont="1" applyFill="1" applyBorder="1" applyAlignment="1" applyProtection="1">
      <alignment horizontal="right"/>
      <protection locked="0"/>
    </xf>
    <xf numFmtId="3" fontId="13" fillId="2" borderId="26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Protection="1"/>
    <xf numFmtId="0" fontId="8" fillId="4" borderId="0" xfId="0" applyFont="1" applyFill="1" applyBorder="1" applyProtection="1"/>
    <xf numFmtId="3" fontId="13" fillId="5" borderId="27" xfId="0" applyNumberFormat="1" applyFont="1" applyFill="1" applyBorder="1" applyAlignment="1" applyProtection="1">
      <alignment horizontal="right"/>
    </xf>
    <xf numFmtId="3" fontId="13" fillId="2" borderId="28" xfId="0" applyNumberFormat="1" applyFont="1" applyFill="1" applyBorder="1" applyAlignment="1" applyProtection="1">
      <alignment horizontal="right"/>
      <protection locked="0"/>
    </xf>
    <xf numFmtId="3" fontId="13" fillId="2" borderId="29" xfId="0" applyNumberFormat="1" applyFont="1" applyFill="1" applyBorder="1" applyAlignment="1" applyProtection="1">
      <alignment horizontal="right"/>
      <protection locked="0"/>
    </xf>
    <xf numFmtId="3" fontId="13" fillId="2" borderId="30" xfId="0" applyNumberFormat="1" applyFont="1" applyFill="1" applyBorder="1" applyAlignment="1" applyProtection="1">
      <alignment horizontal="right"/>
      <protection locked="0"/>
    </xf>
    <xf numFmtId="3" fontId="13" fillId="3" borderId="31" xfId="0" applyNumberFormat="1" applyFont="1" applyFill="1" applyBorder="1" applyAlignment="1" applyProtection="1">
      <alignment horizontal="right"/>
    </xf>
    <xf numFmtId="3" fontId="13" fillId="3" borderId="29" xfId="0" applyNumberFormat="1" applyFont="1" applyFill="1" applyBorder="1" applyAlignment="1" applyProtection="1">
      <alignment horizontal="right"/>
    </xf>
    <xf numFmtId="3" fontId="13" fillId="3" borderId="32" xfId="0" applyNumberFormat="1" applyFont="1" applyFill="1" applyBorder="1" applyAlignment="1" applyProtection="1">
      <alignment horizontal="right"/>
    </xf>
    <xf numFmtId="3" fontId="13" fillId="2" borderId="32" xfId="0" applyNumberFormat="1" applyFont="1" applyFill="1" applyBorder="1" applyAlignment="1" applyProtection="1">
      <alignment horizontal="right"/>
      <protection locked="0"/>
    </xf>
    <xf numFmtId="3" fontId="2" fillId="9" borderId="33" xfId="0" applyNumberFormat="1" applyFont="1" applyFill="1" applyBorder="1" applyProtection="1"/>
    <xf numFmtId="3" fontId="2" fillId="9" borderId="34" xfId="0" applyNumberFormat="1" applyFont="1" applyFill="1" applyBorder="1" applyAlignment="1" applyProtection="1">
      <alignment horizontal="right"/>
    </xf>
    <xf numFmtId="3" fontId="2" fillId="9" borderId="35" xfId="0" applyNumberFormat="1" applyFont="1" applyFill="1" applyBorder="1" applyAlignment="1" applyProtection="1">
      <alignment horizontal="right"/>
    </xf>
    <xf numFmtId="0" fontId="3" fillId="10" borderId="36" xfId="0" applyFont="1" applyFill="1" applyBorder="1" applyAlignment="1" applyProtection="1">
      <alignment horizontal="center"/>
    </xf>
    <xf numFmtId="0" fontId="3" fillId="10" borderId="37" xfId="0" applyFont="1" applyFill="1" applyBorder="1" applyAlignment="1" applyProtection="1">
      <alignment horizontal="center"/>
    </xf>
    <xf numFmtId="0" fontId="3" fillId="10" borderId="38" xfId="0" applyFont="1" applyFill="1" applyBorder="1" applyAlignment="1" applyProtection="1">
      <alignment horizontal="center"/>
    </xf>
    <xf numFmtId="0" fontId="34" fillId="2" borderId="0" xfId="0" applyFont="1" applyFill="1" applyBorder="1" applyProtection="1"/>
    <xf numFmtId="3" fontId="7" fillId="2" borderId="39" xfId="0" applyNumberFormat="1" applyFont="1" applyFill="1" applyBorder="1" applyProtection="1"/>
    <xf numFmtId="3" fontId="36" fillId="2" borderId="39" xfId="0" applyNumberFormat="1" applyFont="1" applyFill="1" applyBorder="1" applyAlignment="1" applyProtection="1">
      <alignment horizontal="left"/>
    </xf>
    <xf numFmtId="3" fontId="2" fillId="9" borderId="40" xfId="0" applyNumberFormat="1" applyFont="1" applyFill="1" applyBorder="1" applyAlignment="1" applyProtection="1">
      <alignment horizontal="right"/>
    </xf>
    <xf numFmtId="3" fontId="2" fillId="9" borderId="20" xfId="0" applyNumberFormat="1" applyFont="1" applyFill="1" applyBorder="1" applyAlignment="1" applyProtection="1">
      <alignment horizontal="right"/>
    </xf>
    <xf numFmtId="3" fontId="2" fillId="9" borderId="41" xfId="0" applyNumberFormat="1" applyFont="1" applyFill="1" applyBorder="1" applyAlignment="1" applyProtection="1">
      <alignment horizontal="right"/>
    </xf>
    <xf numFmtId="0" fontId="31" fillId="7" borderId="0" xfId="5" applyFont="1" applyFill="1" applyBorder="1" applyAlignment="1" applyProtection="1">
      <alignment horizontal="left"/>
    </xf>
    <xf numFmtId="0" fontId="28" fillId="7" borderId="0" xfId="5" applyFont="1" applyFill="1" applyBorder="1" applyAlignment="1" applyProtection="1">
      <alignment horizontal="left"/>
    </xf>
    <xf numFmtId="3" fontId="2" fillId="2" borderId="5" xfId="5" applyNumberFormat="1" applyFont="1" applyFill="1" applyBorder="1" applyAlignment="1" applyProtection="1">
      <alignment horizontal="right"/>
      <protection locked="0"/>
    </xf>
    <xf numFmtId="3" fontId="2" fillId="8" borderId="2" xfId="5" applyNumberFormat="1" applyFont="1" applyFill="1" applyBorder="1" applyAlignment="1" applyProtection="1">
      <alignment horizontal="right"/>
    </xf>
    <xf numFmtId="3" fontId="2" fillId="9" borderId="5" xfId="5" applyNumberFormat="1" applyFont="1" applyFill="1" applyBorder="1" applyAlignment="1" applyProtection="1">
      <alignment horizontal="right"/>
    </xf>
    <xf numFmtId="3" fontId="35" fillId="8" borderId="5" xfId="5" applyNumberFormat="1" applyFont="1" applyFill="1" applyBorder="1" applyProtection="1"/>
    <xf numFmtId="3" fontId="35" fillId="8" borderId="2" xfId="5" applyNumberFormat="1" applyFont="1" applyFill="1" applyBorder="1" applyProtection="1"/>
    <xf numFmtId="3" fontId="35" fillId="8" borderId="42" xfId="5" applyNumberFormat="1" applyFont="1" applyFill="1" applyBorder="1" applyProtection="1"/>
    <xf numFmtId="0" fontId="76" fillId="7" borderId="0" xfId="0" applyFont="1" applyFill="1" applyBorder="1" applyAlignment="1" applyProtection="1">
      <alignment horizontal="left"/>
    </xf>
    <xf numFmtId="3" fontId="56" fillId="2" borderId="0" xfId="0" applyNumberFormat="1" applyFont="1" applyFill="1" applyBorder="1" applyAlignment="1" applyProtection="1"/>
    <xf numFmtId="3" fontId="34" fillId="0" borderId="0" xfId="0" applyNumberFormat="1" applyFont="1" applyFill="1" applyBorder="1" applyProtection="1"/>
    <xf numFmtId="49" fontId="5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7" fillId="0" borderId="0" xfId="0" applyFont="1" applyFill="1" applyBorder="1" applyProtection="1"/>
    <xf numFmtId="3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3" fontId="13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/>
    <xf numFmtId="49" fontId="2" fillId="10" borderId="44" xfId="0" applyNumberFormat="1" applyFont="1" applyFill="1" applyBorder="1" applyAlignment="1" applyProtection="1"/>
    <xf numFmtId="49" fontId="2" fillId="10" borderId="28" xfId="0" applyNumberFormat="1" applyFont="1" applyFill="1" applyBorder="1" applyAlignment="1" applyProtection="1"/>
    <xf numFmtId="49" fontId="2" fillId="10" borderId="29" xfId="0" applyNumberFormat="1" applyFont="1" applyFill="1" applyBorder="1" applyAlignment="1" applyProtection="1"/>
    <xf numFmtId="49" fontId="2" fillId="10" borderId="45" xfId="0" applyNumberFormat="1" applyFont="1" applyFill="1" applyBorder="1" applyAlignment="1" applyProtection="1"/>
    <xf numFmtId="49" fontId="2" fillId="10" borderId="46" xfId="0" applyNumberFormat="1" applyFont="1" applyFill="1" applyBorder="1" applyAlignment="1" applyProtection="1"/>
    <xf numFmtId="49" fontId="2" fillId="10" borderId="47" xfId="0" applyNumberFormat="1" applyFont="1" applyFill="1" applyBorder="1" applyAlignment="1" applyProtection="1"/>
    <xf numFmtId="49" fontId="2" fillId="10" borderId="30" xfId="0" applyNumberFormat="1" applyFont="1" applyFill="1" applyBorder="1" applyAlignment="1" applyProtection="1"/>
    <xf numFmtId="3" fontId="80" fillId="0" borderId="0" xfId="0" applyNumberFormat="1" applyFont="1" applyFill="1" applyBorder="1" applyProtection="1"/>
    <xf numFmtId="0" fontId="60" fillId="2" borderId="0" xfId="0" applyFont="1" applyFill="1" applyProtection="1"/>
    <xf numFmtId="0" fontId="82" fillId="7" borderId="0" xfId="0" applyFont="1" applyFill="1" applyProtection="1"/>
    <xf numFmtId="0" fontId="60" fillId="2" borderId="0" xfId="0" applyNumberFormat="1" applyFont="1" applyFill="1" applyBorder="1" applyProtection="1"/>
    <xf numFmtId="170" fontId="80" fillId="2" borderId="0" xfId="0" applyNumberFormat="1" applyFont="1" applyFill="1" applyBorder="1" applyAlignment="1" applyProtection="1">
      <alignment horizontal="left"/>
    </xf>
    <xf numFmtId="3" fontId="80" fillId="2" borderId="0" xfId="0" applyNumberFormat="1" applyFont="1" applyFill="1" applyBorder="1" applyProtection="1"/>
    <xf numFmtId="0" fontId="80" fillId="2" borderId="0" xfId="0" applyFont="1" applyFill="1" applyProtection="1"/>
    <xf numFmtId="3" fontId="2" fillId="9" borderId="48" xfId="0" applyNumberFormat="1" applyFont="1" applyFill="1" applyBorder="1" applyAlignment="1" applyProtection="1">
      <alignment horizontal="right"/>
    </xf>
    <xf numFmtId="3" fontId="2" fillId="9" borderId="49" xfId="0" applyNumberFormat="1" applyFont="1" applyFill="1" applyBorder="1" applyAlignment="1" applyProtection="1">
      <alignment horizontal="right"/>
    </xf>
    <xf numFmtId="49" fontId="2" fillId="10" borderId="0" xfId="0" applyNumberFormat="1" applyFont="1" applyFill="1" applyBorder="1" applyAlignment="1" applyProtection="1"/>
    <xf numFmtId="49" fontId="2" fillId="10" borderId="50" xfId="0" applyNumberFormat="1" applyFont="1" applyFill="1" applyBorder="1" applyAlignment="1" applyProtection="1"/>
    <xf numFmtId="49" fontId="2" fillId="10" borderId="51" xfId="0" applyNumberFormat="1" applyFont="1" applyFill="1" applyBorder="1" applyAlignment="1" applyProtection="1"/>
    <xf numFmtId="0" fontId="0" fillId="7" borderId="0" xfId="0" applyFill="1" applyProtection="1"/>
    <xf numFmtId="0" fontId="0" fillId="0" borderId="0" xfId="0" applyFill="1" applyBorder="1" applyProtection="1"/>
    <xf numFmtId="0" fontId="0" fillId="0" borderId="0" xfId="0" applyProtection="1"/>
    <xf numFmtId="0" fontId="0" fillId="2" borderId="0" xfId="0" applyFill="1" applyBorder="1" applyProtection="1"/>
    <xf numFmtId="0" fontId="2" fillId="2" borderId="0" xfId="0" applyFont="1" applyFill="1" applyBorder="1" applyProtection="1"/>
    <xf numFmtId="0" fontId="0" fillId="0" borderId="0" xfId="0" applyBorder="1" applyAlignment="1" applyProtection="1"/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52" xfId="0" applyNumberFormat="1" applyFont="1" applyFill="1" applyBorder="1" applyAlignment="1" applyProtection="1">
      <alignment horizontal="right"/>
      <protection locked="0"/>
    </xf>
    <xf numFmtId="3" fontId="2" fillId="2" borderId="53" xfId="0" applyNumberFormat="1" applyFont="1" applyFill="1" applyBorder="1" applyAlignment="1" applyProtection="1">
      <alignment horizontal="right"/>
      <protection locked="0"/>
    </xf>
    <xf numFmtId="3" fontId="2" fillId="2" borderId="19" xfId="0" applyNumberFormat="1" applyFont="1" applyFill="1" applyBorder="1" applyAlignment="1" applyProtection="1">
      <alignment horizontal="right"/>
      <protection locked="0"/>
    </xf>
    <xf numFmtId="0" fontId="34" fillId="2" borderId="0" xfId="0" applyFont="1" applyFill="1" applyProtection="1"/>
    <xf numFmtId="0" fontId="34" fillId="2" borderId="0" xfId="0" applyFont="1" applyFill="1" applyBorder="1" applyAlignment="1" applyProtection="1">
      <alignment horizontal="left"/>
    </xf>
    <xf numFmtId="0" fontId="49" fillId="2" borderId="0" xfId="0" applyFont="1" applyFill="1" applyProtection="1"/>
    <xf numFmtId="0" fontId="49" fillId="0" borderId="0" xfId="0" applyFont="1" applyFill="1" applyBorder="1" applyProtection="1"/>
    <xf numFmtId="49" fontId="0" fillId="2" borderId="0" xfId="0" applyNumberFormat="1" applyFill="1" applyProtection="1"/>
    <xf numFmtId="0" fontId="81" fillId="2" borderId="0" xfId="0" applyFont="1" applyFill="1" applyProtection="1"/>
    <xf numFmtId="0" fontId="22" fillId="2" borderId="0" xfId="0" applyFont="1" applyFill="1" applyProtection="1"/>
    <xf numFmtId="3" fontId="2" fillId="2" borderId="54" xfId="0" applyNumberFormat="1" applyFont="1" applyFill="1" applyBorder="1" applyAlignment="1" applyProtection="1">
      <alignment horizontal="right"/>
      <protection locked="0"/>
    </xf>
    <xf numFmtId="3" fontId="2" fillId="6" borderId="18" xfId="0" applyNumberFormat="1" applyFont="1" applyFill="1" applyBorder="1" applyAlignment="1" applyProtection="1">
      <alignment horizontal="right"/>
      <protection locked="0"/>
    </xf>
    <xf numFmtId="3" fontId="2" fillId="2" borderId="55" xfId="0" applyNumberFormat="1" applyFont="1" applyFill="1" applyBorder="1" applyAlignment="1" applyProtection="1">
      <alignment horizontal="right"/>
      <protection locked="0"/>
    </xf>
    <xf numFmtId="3" fontId="2" fillId="6" borderId="19" xfId="0" applyNumberFormat="1" applyFont="1" applyFill="1" applyBorder="1" applyAlignment="1" applyProtection="1">
      <alignment horizontal="right"/>
      <protection locked="0"/>
    </xf>
    <xf numFmtId="3" fontId="2" fillId="11" borderId="18" xfId="0" applyNumberFormat="1" applyFont="1" applyFill="1" applyBorder="1" applyAlignment="1" applyProtection="1">
      <alignment horizontal="right"/>
      <protection locked="0"/>
    </xf>
    <xf numFmtId="3" fontId="2" fillId="6" borderId="54" xfId="0" applyNumberFormat="1" applyFont="1" applyFill="1" applyBorder="1" applyAlignment="1" applyProtection="1">
      <alignment horizontal="right"/>
      <protection locked="0"/>
    </xf>
    <xf numFmtId="3" fontId="2" fillId="6" borderId="12" xfId="0" applyNumberFormat="1" applyFont="1" applyFill="1" applyBorder="1" applyAlignment="1" applyProtection="1">
      <alignment horizontal="right"/>
      <protection locked="0"/>
    </xf>
    <xf numFmtId="3" fontId="2" fillId="6" borderId="56" xfId="0" applyNumberFormat="1" applyFont="1" applyFill="1" applyBorder="1" applyAlignment="1" applyProtection="1">
      <alignment horizontal="right"/>
      <protection locked="0"/>
    </xf>
    <xf numFmtId="3" fontId="2" fillId="2" borderId="20" xfId="0" applyNumberFormat="1" applyFont="1" applyFill="1" applyBorder="1" applyAlignment="1" applyProtection="1">
      <alignment horizontal="right"/>
      <protection locked="0"/>
    </xf>
    <xf numFmtId="3" fontId="2" fillId="2" borderId="57" xfId="0" applyNumberFormat="1" applyFont="1" applyFill="1" applyBorder="1" applyAlignment="1" applyProtection="1">
      <alignment horizontal="right"/>
      <protection locked="0"/>
    </xf>
    <xf numFmtId="0" fontId="0" fillId="7" borderId="0" xfId="0" applyFill="1" applyBorder="1" applyProtection="1"/>
    <xf numFmtId="0" fontId="22" fillId="2" borderId="0" xfId="0" applyFont="1" applyFill="1" applyBorder="1" applyProtection="1"/>
    <xf numFmtId="0" fontId="52" fillId="2" borderId="0" xfId="0" quotePrefix="1" applyFont="1" applyFill="1" applyAlignment="1" applyProtection="1">
      <alignment horizontal="left"/>
    </xf>
    <xf numFmtId="0" fontId="38" fillId="0" borderId="0" xfId="0" applyFont="1" applyFill="1" applyBorder="1" applyProtection="1"/>
    <xf numFmtId="0" fontId="49" fillId="0" borderId="0" xfId="0" applyFont="1" applyFill="1" applyProtection="1"/>
    <xf numFmtId="0" fontId="0" fillId="0" borderId="0" xfId="0" applyFill="1" applyProtection="1"/>
    <xf numFmtId="0" fontId="11" fillId="4" borderId="0" xfId="0" applyFont="1" applyFill="1" applyBorder="1" applyProtection="1"/>
    <xf numFmtId="49" fontId="11" fillId="0" borderId="58" xfId="0" applyNumberFormat="1" applyFont="1" applyFill="1" applyBorder="1" applyProtection="1"/>
    <xf numFmtId="0" fontId="22" fillId="0" borderId="0" xfId="0" applyFont="1" applyFill="1" applyBorder="1" applyProtection="1"/>
    <xf numFmtId="0" fontId="23" fillId="4" borderId="0" xfId="0" applyFont="1" applyFill="1" applyBorder="1" applyProtection="1"/>
    <xf numFmtId="3" fontId="13" fillId="4" borderId="0" xfId="0" applyNumberFormat="1" applyFont="1" applyFill="1" applyBorder="1" applyProtection="1"/>
    <xf numFmtId="0" fontId="49" fillId="2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49" fontId="11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22" fillId="0" borderId="0" xfId="0" applyFont="1" applyProtection="1"/>
    <xf numFmtId="0" fontId="22" fillId="0" borderId="0" xfId="0" applyFont="1" applyBorder="1" applyProtection="1"/>
    <xf numFmtId="0" fontId="78" fillId="0" borderId="0" xfId="0" applyFont="1" applyFill="1" applyBorder="1" applyProtection="1"/>
    <xf numFmtId="3" fontId="2" fillId="0" borderId="32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Border="1" applyProtection="1"/>
    <xf numFmtId="0" fontId="9" fillId="2" borderId="1" xfId="0" applyFont="1" applyFill="1" applyBorder="1" applyProtection="1"/>
    <xf numFmtId="0" fontId="19" fillId="2" borderId="0" xfId="0" applyFont="1" applyFill="1" applyProtection="1"/>
    <xf numFmtId="0" fontId="9" fillId="0" borderId="0" xfId="0" applyFont="1" applyFill="1" applyBorder="1" applyProtection="1"/>
    <xf numFmtId="3" fontId="2" fillId="2" borderId="59" xfId="0" applyNumberFormat="1" applyFont="1" applyFill="1" applyBorder="1" applyAlignment="1" applyProtection="1">
      <alignment horizontal="right"/>
      <protection locked="0"/>
    </xf>
    <xf numFmtId="3" fontId="13" fillId="2" borderId="53" xfId="0" applyNumberFormat="1" applyFont="1" applyFill="1" applyBorder="1" applyAlignment="1" applyProtection="1">
      <alignment horizontal="right"/>
      <protection locked="0"/>
    </xf>
    <xf numFmtId="3" fontId="13" fillId="0" borderId="20" xfId="0" applyNumberFormat="1" applyFont="1" applyFill="1" applyBorder="1" applyAlignment="1" applyProtection="1">
      <alignment horizontal="right"/>
      <protection locked="0"/>
    </xf>
    <xf numFmtId="3" fontId="13" fillId="0" borderId="19" xfId="0" applyNumberFormat="1" applyFont="1" applyFill="1" applyBorder="1" applyAlignment="1" applyProtection="1">
      <alignment horizontal="right"/>
      <protection locked="0"/>
    </xf>
    <xf numFmtId="3" fontId="2" fillId="2" borderId="60" xfId="0" applyNumberFormat="1" applyFont="1" applyFill="1" applyBorder="1" applyAlignment="1" applyProtection="1">
      <alignment horizontal="right"/>
      <protection locked="0"/>
    </xf>
    <xf numFmtId="3" fontId="10" fillId="2" borderId="18" xfId="0" applyNumberFormat="1" applyFont="1" applyFill="1" applyBorder="1" applyAlignment="1" applyProtection="1">
      <alignment horizontal="right"/>
      <protection locked="0"/>
    </xf>
    <xf numFmtId="3" fontId="13" fillId="0" borderId="18" xfId="0" applyNumberFormat="1" applyFont="1" applyFill="1" applyBorder="1" applyAlignment="1" applyProtection="1">
      <alignment horizontal="right"/>
      <protection locked="0"/>
    </xf>
    <xf numFmtId="3" fontId="13" fillId="0" borderId="26" xfId="0" applyNumberFormat="1" applyFont="1" applyFill="1" applyBorder="1" applyAlignment="1" applyProtection="1">
      <alignment horizontal="right"/>
      <protection locked="0"/>
    </xf>
    <xf numFmtId="3" fontId="13" fillId="2" borderId="61" xfId="0" applyNumberFormat="1" applyFont="1" applyFill="1" applyBorder="1" applyAlignment="1" applyProtection="1">
      <alignment horizontal="right"/>
      <protection locked="0"/>
    </xf>
    <xf numFmtId="3" fontId="13" fillId="0" borderId="62" xfId="0" applyNumberFormat="1" applyFont="1" applyFill="1" applyBorder="1" applyAlignment="1" applyProtection="1">
      <alignment horizontal="right"/>
      <protection locked="0"/>
    </xf>
    <xf numFmtId="0" fontId="34" fillId="0" borderId="0" xfId="0" applyFont="1" applyProtection="1"/>
    <xf numFmtId="0" fontId="34" fillId="0" borderId="0" xfId="0" applyFont="1" applyFill="1" applyProtection="1"/>
    <xf numFmtId="0" fontId="11" fillId="0" borderId="0" xfId="0" applyFont="1" applyFill="1" applyBorder="1" applyAlignment="1" applyProtection="1">
      <alignment horizontal="center"/>
    </xf>
    <xf numFmtId="3" fontId="13" fillId="0" borderId="63" xfId="0" applyNumberFormat="1" applyFont="1" applyFill="1" applyBorder="1" applyAlignment="1" applyProtection="1">
      <alignment horizontal="right"/>
      <protection locked="0"/>
    </xf>
    <xf numFmtId="0" fontId="57" fillId="0" borderId="0" xfId="0" applyFont="1" applyFill="1" applyBorder="1" applyProtection="1"/>
    <xf numFmtId="0" fontId="57" fillId="2" borderId="0" xfId="0" applyFont="1" applyFill="1" applyProtection="1"/>
    <xf numFmtId="0" fontId="62" fillId="2" borderId="0" xfId="0" applyFont="1" applyFill="1" applyAlignment="1" applyProtection="1"/>
    <xf numFmtId="0" fontId="62" fillId="0" borderId="0" xfId="0" applyFont="1" applyFill="1" applyBorder="1" applyAlignment="1" applyProtection="1"/>
    <xf numFmtId="0" fontId="0" fillId="2" borderId="0" xfId="0" applyFont="1" applyFill="1" applyProtection="1"/>
    <xf numFmtId="0" fontId="0" fillId="0" borderId="0" xfId="0" applyFont="1" applyFill="1" applyBorder="1" applyProtection="1"/>
    <xf numFmtId="0" fontId="0" fillId="2" borderId="0" xfId="0" applyFill="1" applyBorder="1" applyAlignment="1" applyProtection="1">
      <alignment horizontal="left"/>
    </xf>
    <xf numFmtId="49" fontId="3" fillId="0" borderId="0" xfId="0" applyNumberFormat="1" applyFont="1" applyFill="1" applyBorder="1" applyProtection="1"/>
    <xf numFmtId="3" fontId="10" fillId="2" borderId="8" xfId="0" applyNumberFormat="1" applyFont="1" applyFill="1" applyBorder="1" applyAlignment="1" applyProtection="1">
      <alignment horizontal="right"/>
      <protection locked="0"/>
    </xf>
    <xf numFmtId="3" fontId="10" fillId="2" borderId="5" xfId="0" applyNumberFormat="1" applyFont="1" applyFill="1" applyBorder="1" applyAlignment="1" applyProtection="1">
      <alignment horizontal="right"/>
      <protection locked="0"/>
    </xf>
    <xf numFmtId="3" fontId="10" fillId="2" borderId="5" xfId="0" quotePrefix="1" applyNumberFormat="1" applyFont="1" applyFill="1" applyBorder="1" applyAlignment="1" applyProtection="1">
      <alignment horizontal="right"/>
      <protection locked="0"/>
    </xf>
    <xf numFmtId="3" fontId="10" fillId="0" borderId="8" xfId="0" applyNumberFormat="1" applyFont="1" applyFill="1" applyBorder="1" applyAlignment="1" applyProtection="1">
      <alignment horizontal="right"/>
      <protection locked="0"/>
    </xf>
    <xf numFmtId="3" fontId="10" fillId="0" borderId="5" xfId="0" applyNumberFormat="1" applyFont="1" applyFill="1" applyBorder="1" applyAlignment="1" applyProtection="1">
      <alignment horizontal="right"/>
      <protection locked="0"/>
    </xf>
    <xf numFmtId="3" fontId="13" fillId="2" borderId="42" xfId="0" applyNumberFormat="1" applyFont="1" applyFill="1" applyBorder="1" applyAlignment="1" applyProtection="1">
      <alignment horizontal="right"/>
      <protection locked="0"/>
    </xf>
    <xf numFmtId="3" fontId="13" fillId="6" borderId="42" xfId="0" applyNumberFormat="1" applyFont="1" applyFill="1" applyBorder="1" applyAlignment="1" applyProtection="1">
      <alignment horizontal="right"/>
      <protection locked="0"/>
    </xf>
    <xf numFmtId="3" fontId="13" fillId="2" borderId="13" xfId="0" applyNumberFormat="1" applyFont="1" applyFill="1" applyBorder="1" applyAlignment="1" applyProtection="1">
      <alignment horizontal="right"/>
      <protection locked="0"/>
    </xf>
    <xf numFmtId="0" fontId="7" fillId="2" borderId="39" xfId="0" applyFont="1" applyFill="1" applyBorder="1" applyProtection="1"/>
    <xf numFmtId="0" fontId="79" fillId="0" borderId="39" xfId="11" applyFont="1" applyFill="1" applyBorder="1" applyProtection="1"/>
    <xf numFmtId="3" fontId="2" fillId="9" borderId="19" xfId="0" applyNumberFormat="1" applyFont="1" applyFill="1" applyBorder="1" applyAlignment="1" applyProtection="1">
      <alignment horizontal="right"/>
    </xf>
    <xf numFmtId="3" fontId="9" fillId="2" borderId="0" xfId="0" applyNumberFormat="1" applyFont="1" applyFill="1" applyBorder="1" applyProtection="1"/>
    <xf numFmtId="3" fontId="78" fillId="2" borderId="0" xfId="0" applyNumberFormat="1" applyFont="1" applyFill="1" applyBorder="1" applyProtection="1"/>
    <xf numFmtId="49" fontId="22" fillId="7" borderId="0" xfId="0" applyNumberFormat="1" applyFont="1" applyFill="1" applyProtection="1"/>
    <xf numFmtId="49" fontId="3" fillId="10" borderId="47" xfId="0" applyNumberFormat="1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56" fillId="0" borderId="0" xfId="0" applyFont="1" applyFill="1" applyBorder="1" applyAlignment="1" applyProtection="1">
      <alignment vertical="top"/>
    </xf>
    <xf numFmtId="169" fontId="3" fillId="0" borderId="0" xfId="11" applyNumberFormat="1" applyFont="1" applyFill="1" applyBorder="1" applyAlignment="1" applyProtection="1">
      <alignment horizontal="left"/>
    </xf>
    <xf numFmtId="49" fontId="22" fillId="0" borderId="0" xfId="0" applyNumberFormat="1" applyFont="1" applyAlignment="1" applyProtection="1">
      <alignment horizontal="left"/>
    </xf>
    <xf numFmtId="49" fontId="22" fillId="0" borderId="0" xfId="0" applyNumberFormat="1" applyFont="1" applyProtection="1"/>
    <xf numFmtId="0" fontId="77" fillId="0" borderId="0" xfId="0" applyFont="1" applyProtection="1"/>
    <xf numFmtId="3" fontId="10" fillId="0" borderId="19" xfId="0" applyNumberFormat="1" applyFont="1" applyFill="1" applyBorder="1" applyAlignment="1" applyProtection="1">
      <alignment horizontal="right"/>
      <protection locked="0"/>
    </xf>
    <xf numFmtId="3" fontId="10" fillId="0" borderId="4" xfId="0" applyNumberFormat="1" applyFont="1" applyFill="1" applyBorder="1" applyAlignment="1" applyProtection="1">
      <alignment horizontal="right"/>
      <protection locked="0"/>
    </xf>
    <xf numFmtId="0" fontId="22" fillId="7" borderId="0" xfId="5" applyFill="1" applyProtection="1"/>
    <xf numFmtId="1" fontId="22" fillId="7" borderId="0" xfId="5" applyNumberFormat="1" applyFill="1" applyProtection="1"/>
    <xf numFmtId="0" fontId="22" fillId="0" borderId="0" xfId="5" applyFill="1" applyBorder="1" applyProtection="1"/>
    <xf numFmtId="0" fontId="22" fillId="0" borderId="0" xfId="5" applyProtection="1"/>
    <xf numFmtId="0" fontId="22" fillId="0" borderId="0" xfId="5" applyBorder="1" applyProtection="1"/>
    <xf numFmtId="1" fontId="51" fillId="2" borderId="0" xfId="11" applyNumberFormat="1" applyFont="1" applyFill="1" applyBorder="1" applyAlignment="1" applyProtection="1">
      <alignment horizontal="left"/>
    </xf>
    <xf numFmtId="0" fontId="22" fillId="2" borderId="0" xfId="5" applyFont="1" applyFill="1" applyProtection="1"/>
    <xf numFmtId="0" fontId="49" fillId="2" borderId="0" xfId="5" applyFont="1" applyFill="1" applyProtection="1"/>
    <xf numFmtId="1" fontId="22" fillId="0" borderId="0" xfId="5" applyNumberFormat="1" applyProtection="1"/>
    <xf numFmtId="0" fontId="22" fillId="0" borderId="0" xfId="5" applyFont="1" applyProtection="1"/>
    <xf numFmtId="3" fontId="2" fillId="2" borderId="2" xfId="5" applyNumberFormat="1" applyFont="1" applyFill="1" applyBorder="1" applyAlignment="1" applyProtection="1">
      <alignment horizontal="right"/>
      <protection locked="0"/>
    </xf>
    <xf numFmtId="3" fontId="2" fillId="2" borderId="15" xfId="5" applyNumberFormat="1" applyFont="1" applyFill="1" applyBorder="1" applyAlignment="1" applyProtection="1">
      <alignment horizontal="right"/>
      <protection locked="0"/>
    </xf>
    <xf numFmtId="0" fontId="22" fillId="0" borderId="0" xfId="0" applyFont="1" applyFill="1" applyProtection="1"/>
    <xf numFmtId="49" fontId="22" fillId="0" borderId="0" xfId="0" applyNumberFormat="1" applyFont="1" applyFill="1" applyBorder="1" applyAlignment="1" applyProtection="1">
      <alignment horizontal="left"/>
    </xf>
    <xf numFmtId="0" fontId="0" fillId="7" borderId="0" xfId="0" applyFill="1" applyAlignment="1" applyProtection="1"/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0" fillId="0" borderId="0" xfId="0" applyAlignment="1" applyProtection="1"/>
    <xf numFmtId="3" fontId="2" fillId="2" borderId="61" xfId="0" applyNumberFormat="1" applyFont="1" applyFill="1" applyBorder="1" applyAlignment="1" applyProtection="1">
      <alignment horizontal="right"/>
      <protection locked="0"/>
    </xf>
    <xf numFmtId="3" fontId="2" fillId="2" borderId="62" xfId="0" applyNumberFormat="1" applyFont="1" applyFill="1" applyBorder="1" applyAlignment="1" applyProtection="1">
      <alignment horizontal="right"/>
      <protection locked="0"/>
    </xf>
    <xf numFmtId="3" fontId="2" fillId="2" borderId="64" xfId="0" applyNumberFormat="1" applyFont="1" applyFill="1" applyBorder="1" applyAlignment="1" applyProtection="1">
      <alignment horizontal="right"/>
      <protection locked="0"/>
    </xf>
    <xf numFmtId="3" fontId="2" fillId="2" borderId="65" xfId="0" applyNumberFormat="1" applyFont="1" applyFill="1" applyBorder="1" applyAlignment="1" applyProtection="1">
      <alignment horizontal="right"/>
      <protection locked="0"/>
    </xf>
    <xf numFmtId="3" fontId="13" fillId="2" borderId="62" xfId="0" applyNumberFormat="1" applyFont="1" applyFill="1" applyBorder="1" applyAlignment="1" applyProtection="1">
      <alignment horizontal="right"/>
      <protection locked="0"/>
    </xf>
    <xf numFmtId="3" fontId="2" fillId="6" borderId="63" xfId="0" applyNumberFormat="1" applyFont="1" applyFill="1" applyBorder="1" applyAlignment="1" applyProtection="1">
      <alignment horizontal="right"/>
      <protection locked="0"/>
    </xf>
    <xf numFmtId="171" fontId="34" fillId="0" borderId="0" xfId="5" applyNumberFormat="1" applyFont="1" applyFill="1" applyBorder="1" applyAlignment="1" applyProtection="1">
      <alignment vertical="top" wrapText="1"/>
    </xf>
    <xf numFmtId="3" fontId="2" fillId="9" borderId="66" xfId="0" applyNumberFormat="1" applyFont="1" applyFill="1" applyBorder="1" applyAlignment="1" applyProtection="1"/>
    <xf numFmtId="3" fontId="2" fillId="9" borderId="13" xfId="0" applyNumberFormat="1" applyFont="1" applyFill="1" applyBorder="1" applyAlignment="1" applyProtection="1"/>
    <xf numFmtId="3" fontId="35" fillId="8" borderId="68" xfId="5" applyNumberFormat="1" applyFont="1" applyFill="1" applyBorder="1" applyProtection="1"/>
    <xf numFmtId="3" fontId="35" fillId="8" borderId="35" xfId="5" applyNumberFormat="1" applyFont="1" applyFill="1" applyBorder="1" applyProtection="1"/>
    <xf numFmtId="3" fontId="35" fillId="8" borderId="25" xfId="5" applyNumberFormat="1" applyFont="1" applyFill="1" applyBorder="1" applyProtection="1"/>
    <xf numFmtId="165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/>
    </xf>
    <xf numFmtId="3" fontId="13" fillId="0" borderId="69" xfId="0" applyNumberFormat="1" applyFont="1" applyFill="1" applyBorder="1" applyAlignment="1" applyProtection="1">
      <alignment horizontal="right"/>
      <protection locked="0"/>
    </xf>
    <xf numFmtId="3" fontId="13" fillId="9" borderId="26" xfId="0" applyNumberFormat="1" applyFont="1" applyFill="1" applyBorder="1" applyProtection="1"/>
    <xf numFmtId="0" fontId="10" fillId="0" borderId="0" xfId="5" applyFont="1" applyFill="1" applyBorder="1" applyProtection="1"/>
    <xf numFmtId="3" fontId="35" fillId="0" borderId="0" xfId="5" applyNumberFormat="1" applyFont="1" applyFill="1" applyBorder="1" applyProtection="1"/>
    <xf numFmtId="0" fontId="22" fillId="0" borderId="0" xfId="5" applyFont="1" applyFill="1" applyProtection="1"/>
    <xf numFmtId="0" fontId="34" fillId="0" borderId="0" xfId="0" applyFont="1" applyFill="1" applyBorder="1" applyProtection="1"/>
    <xf numFmtId="0" fontId="0" fillId="0" borderId="1" xfId="0" applyBorder="1"/>
    <xf numFmtId="3" fontId="13" fillId="2" borderId="19" xfId="0" applyNumberFormat="1" applyFont="1" applyFill="1" applyBorder="1" applyAlignment="1" applyProtection="1">
      <protection locked="0"/>
    </xf>
    <xf numFmtId="171" fontId="34" fillId="0" borderId="0" xfId="0" applyNumberFormat="1" applyFont="1" applyFill="1" applyProtection="1"/>
    <xf numFmtId="171" fontId="34" fillId="2" borderId="0" xfId="0" applyNumberFormat="1" applyFont="1" applyFill="1" applyProtection="1"/>
    <xf numFmtId="0" fontId="34" fillId="2" borderId="0" xfId="0" applyFont="1" applyFill="1" applyBorder="1" applyAlignment="1" applyProtection="1">
      <alignment horizontal="left" vertical="top" wrapText="1"/>
    </xf>
    <xf numFmtId="3" fontId="2" fillId="2" borderId="8" xfId="0" applyNumberFormat="1" applyFont="1" applyFill="1" applyBorder="1" applyAlignment="1" applyProtection="1">
      <alignment horizontal="right"/>
      <protection locked="0"/>
    </xf>
    <xf numFmtId="3" fontId="2" fillId="2" borderId="70" xfId="5" applyNumberFormat="1" applyFont="1" applyFill="1" applyBorder="1" applyAlignment="1" applyProtection="1">
      <alignment horizontal="right"/>
      <protection locked="0"/>
    </xf>
    <xf numFmtId="3" fontId="2" fillId="2" borderId="6" xfId="5" applyNumberFormat="1" applyFont="1" applyFill="1" applyBorder="1" applyAlignment="1" applyProtection="1">
      <alignment horizontal="right"/>
      <protection locked="0"/>
    </xf>
    <xf numFmtId="3" fontId="2" fillId="2" borderId="71" xfId="5" applyNumberFormat="1" applyFont="1" applyFill="1" applyBorder="1" applyAlignment="1" applyProtection="1">
      <alignment horizontal="right"/>
      <protection locked="0"/>
    </xf>
    <xf numFmtId="3" fontId="2" fillId="2" borderId="25" xfId="5" applyNumberFormat="1" applyFont="1" applyFill="1" applyBorder="1" applyAlignment="1" applyProtection="1">
      <alignment horizontal="right"/>
      <protection locked="0"/>
    </xf>
    <xf numFmtId="3" fontId="2" fillId="2" borderId="72" xfId="5" applyNumberFormat="1" applyFont="1" applyFill="1" applyBorder="1" applyAlignment="1" applyProtection="1">
      <alignment horizontal="right"/>
      <protection locked="0"/>
    </xf>
    <xf numFmtId="0" fontId="36" fillId="0" borderId="0" xfId="5" applyFont="1" applyProtection="1"/>
    <xf numFmtId="0" fontId="48" fillId="2" borderId="0" xfId="5" applyFont="1" applyFill="1" applyProtection="1"/>
    <xf numFmtId="0" fontId="34" fillId="0" borderId="0" xfId="5" quotePrefix="1" applyNumberFormat="1" applyFont="1" applyProtection="1"/>
    <xf numFmtId="3" fontId="68" fillId="8" borderId="25" xfId="5" applyNumberFormat="1" applyFont="1" applyFill="1" applyBorder="1" applyAlignment="1" applyProtection="1">
      <alignment horizontal="right"/>
    </xf>
    <xf numFmtId="3" fontId="2" fillId="8" borderId="5" xfId="5" applyNumberFormat="1" applyFont="1" applyFill="1" applyBorder="1" applyAlignment="1" applyProtection="1"/>
    <xf numFmtId="3" fontId="68" fillId="12" borderId="25" xfId="5" applyNumberFormat="1" applyFont="1" applyFill="1" applyBorder="1" applyAlignment="1" applyProtection="1">
      <alignment horizontal="right"/>
    </xf>
    <xf numFmtId="3" fontId="2" fillId="8" borderId="12" xfId="5" applyNumberFormat="1" applyFont="1" applyFill="1" applyBorder="1" applyAlignment="1" applyProtection="1"/>
    <xf numFmtId="3" fontId="68" fillId="8" borderId="25" xfId="5" quotePrefix="1" applyNumberFormat="1" applyFont="1" applyFill="1" applyBorder="1" applyAlignment="1" applyProtection="1">
      <alignment horizontal="right"/>
    </xf>
    <xf numFmtId="3" fontId="2" fillId="8" borderId="5" xfId="0" applyNumberFormat="1" applyFont="1" applyFill="1" applyBorder="1" applyAlignment="1" applyProtection="1">
      <alignment horizontal="right"/>
    </xf>
    <xf numFmtId="0" fontId="35" fillId="2" borderId="0" xfId="0" applyFont="1" applyFill="1" applyAlignment="1" applyProtection="1">
      <alignment horizontal="right"/>
    </xf>
    <xf numFmtId="3" fontId="2" fillId="2" borderId="3" xfId="5" applyNumberFormat="1" applyFont="1" applyFill="1" applyBorder="1" applyAlignment="1" applyProtection="1">
      <alignment horizontal="right"/>
      <protection locked="0"/>
    </xf>
    <xf numFmtId="3" fontId="34" fillId="0" borderId="74" xfId="5" quotePrefix="1" applyNumberFormat="1" applyFont="1" applyFill="1" applyBorder="1" applyAlignment="1" applyProtection="1">
      <alignment horizontal="left"/>
    </xf>
    <xf numFmtId="0" fontId="36" fillId="0" borderId="76" xfId="5" applyFont="1" applyBorder="1" applyProtection="1"/>
    <xf numFmtId="0" fontId="88" fillId="0" borderId="76" xfId="5" applyFont="1" applyBorder="1" applyProtection="1"/>
    <xf numFmtId="3" fontId="34" fillId="0" borderId="78" xfId="5" quotePrefix="1" applyNumberFormat="1" applyFont="1" applyFill="1" applyBorder="1" applyAlignment="1" applyProtection="1">
      <alignment horizontal="left"/>
    </xf>
    <xf numFmtId="0" fontId="22" fillId="0" borderId="79" xfId="5" applyBorder="1" applyProtection="1"/>
    <xf numFmtId="0" fontId="22" fillId="0" borderId="52" xfId="5" applyBorder="1" applyProtection="1"/>
    <xf numFmtId="0" fontId="22" fillId="0" borderId="80" xfId="5" applyBorder="1" applyProtection="1"/>
    <xf numFmtId="0" fontId="34" fillId="0" borderId="0" xfId="5" applyFont="1" applyProtection="1"/>
    <xf numFmtId="3" fontId="34" fillId="0" borderId="0" xfId="5" quotePrefix="1" applyNumberFormat="1" applyFont="1" applyFill="1" applyBorder="1" applyAlignment="1" applyProtection="1">
      <alignment horizontal="left"/>
    </xf>
    <xf numFmtId="3" fontId="2" fillId="9" borderId="81" xfId="5" applyNumberFormat="1" applyFont="1" applyFill="1" applyBorder="1" applyProtection="1"/>
    <xf numFmtId="3" fontId="2" fillId="9" borderId="82" xfId="5" applyNumberFormat="1" applyFont="1" applyFill="1" applyBorder="1" applyProtection="1"/>
    <xf numFmtId="3" fontId="2" fillId="3" borderId="13" xfId="0" applyNumberFormat="1" applyFont="1" applyFill="1" applyBorder="1" applyProtection="1"/>
    <xf numFmtId="3" fontId="2" fillId="3" borderId="26" xfId="0" applyNumberFormat="1" applyFont="1" applyFill="1" applyBorder="1" applyProtection="1"/>
    <xf numFmtId="3" fontId="2" fillId="3" borderId="20" xfId="0" applyNumberFormat="1" applyFont="1" applyFill="1" applyBorder="1" applyProtection="1"/>
    <xf numFmtId="3" fontId="2" fillId="3" borderId="83" xfId="0" applyNumberFormat="1" applyFont="1" applyFill="1" applyBorder="1" applyProtection="1"/>
    <xf numFmtId="3" fontId="2" fillId="3" borderId="54" xfId="0" applyNumberFormat="1" applyFont="1" applyFill="1" applyBorder="1" applyProtection="1"/>
    <xf numFmtId="3" fontId="2" fillId="3" borderId="56" xfId="0" applyNumberFormat="1" applyFont="1" applyFill="1" applyBorder="1" applyProtection="1"/>
    <xf numFmtId="3" fontId="2" fillId="3" borderId="69" xfId="0" applyNumberFormat="1" applyFont="1" applyFill="1" applyBorder="1" applyProtection="1"/>
    <xf numFmtId="3" fontId="2" fillId="3" borderId="25" xfId="0" applyNumberFormat="1" applyFont="1" applyFill="1" applyBorder="1" applyProtection="1"/>
    <xf numFmtId="3" fontId="2" fillId="3" borderId="19" xfId="0" applyNumberFormat="1" applyFont="1" applyFill="1" applyBorder="1" applyProtection="1"/>
    <xf numFmtId="3" fontId="2" fillId="3" borderId="63" xfId="0" applyNumberFormat="1" applyFont="1" applyFill="1" applyBorder="1" applyProtection="1"/>
    <xf numFmtId="3" fontId="2" fillId="3" borderId="84" xfId="0" applyNumberFormat="1" applyFont="1" applyFill="1" applyBorder="1" applyProtection="1"/>
    <xf numFmtId="3" fontId="2" fillId="3" borderId="5" xfId="0" applyNumberFormat="1" applyFont="1" applyFill="1" applyBorder="1" applyProtection="1"/>
    <xf numFmtId="3" fontId="2" fillId="3" borderId="85" xfId="0" applyNumberFormat="1" applyFont="1" applyFill="1" applyBorder="1" applyProtection="1"/>
    <xf numFmtId="3" fontId="2" fillId="3" borderId="86" xfId="0" applyNumberFormat="1" applyFont="1" applyFill="1" applyBorder="1" applyProtection="1"/>
    <xf numFmtId="3" fontId="2" fillId="3" borderId="80" xfId="0" applyNumberFormat="1" applyFont="1" applyFill="1" applyBorder="1" applyProtection="1"/>
    <xf numFmtId="3" fontId="13" fillId="3" borderId="59" xfId="0" applyNumberFormat="1" applyFont="1" applyFill="1" applyBorder="1" applyProtection="1"/>
    <xf numFmtId="3" fontId="13" fillId="3" borderId="87" xfId="0" applyNumberFormat="1" applyFont="1" applyFill="1" applyBorder="1" applyProtection="1"/>
    <xf numFmtId="3" fontId="13" fillId="3" borderId="88" xfId="0" applyNumberFormat="1" applyFont="1" applyFill="1" applyBorder="1" applyProtection="1"/>
    <xf numFmtId="3" fontId="13" fillId="3" borderId="85" xfId="0" applyNumberFormat="1" applyFont="1" applyFill="1" applyBorder="1" applyProtection="1"/>
    <xf numFmtId="3" fontId="13" fillId="3" borderId="26" xfId="0" applyNumberFormat="1" applyFont="1" applyFill="1" applyBorder="1" applyProtection="1"/>
    <xf numFmtId="3" fontId="13" fillId="3" borderId="20" xfId="0" applyNumberFormat="1" applyFont="1" applyFill="1" applyBorder="1" applyProtection="1"/>
    <xf numFmtId="3" fontId="13" fillId="3" borderId="18" xfId="0" applyNumberFormat="1" applyFont="1" applyFill="1" applyBorder="1" applyProtection="1"/>
    <xf numFmtId="3" fontId="13" fillId="3" borderId="19" xfId="0" applyNumberFormat="1" applyFont="1" applyFill="1" applyBorder="1" applyProtection="1"/>
    <xf numFmtId="3" fontId="13" fillId="3" borderId="5" xfId="0" applyNumberFormat="1" applyFont="1" applyFill="1" applyBorder="1" applyAlignment="1" applyProtection="1">
      <alignment horizontal="right"/>
    </xf>
    <xf numFmtId="3" fontId="2" fillId="13" borderId="7" xfId="0" applyNumberFormat="1" applyFont="1" applyFill="1" applyBorder="1" applyAlignment="1" applyProtection="1">
      <alignment horizontal="right"/>
    </xf>
    <xf numFmtId="3" fontId="2" fillId="3" borderId="42" xfId="0" applyNumberFormat="1" applyFont="1" applyFill="1" applyBorder="1" applyAlignment="1" applyProtection="1">
      <alignment horizontal="right"/>
    </xf>
    <xf numFmtId="3" fontId="2" fillId="3" borderId="89" xfId="0" applyNumberFormat="1" applyFont="1" applyFill="1" applyBorder="1" applyAlignment="1" applyProtection="1">
      <alignment horizontal="right"/>
    </xf>
    <xf numFmtId="3" fontId="2" fillId="3" borderId="83" xfId="0" applyNumberFormat="1" applyFont="1" applyFill="1" applyBorder="1" applyAlignment="1" applyProtection="1">
      <alignment horizontal="right"/>
    </xf>
    <xf numFmtId="3" fontId="2" fillId="3" borderId="90" xfId="0" applyNumberFormat="1" applyFont="1" applyFill="1" applyBorder="1" applyAlignment="1" applyProtection="1">
      <alignment horizontal="right"/>
    </xf>
    <xf numFmtId="3" fontId="2" fillId="3" borderId="13" xfId="0" applyNumberFormat="1" applyFont="1" applyFill="1" applyBorder="1" applyAlignment="1" applyProtection="1">
      <alignment horizontal="right"/>
    </xf>
    <xf numFmtId="3" fontId="13" fillId="3" borderId="18" xfId="0" applyNumberFormat="1" applyFont="1" applyFill="1" applyBorder="1" applyAlignment="1" applyProtection="1">
      <alignment horizontal="right"/>
    </xf>
    <xf numFmtId="3" fontId="13" fillId="3" borderId="3" xfId="0" applyNumberFormat="1" applyFont="1" applyFill="1" applyBorder="1" applyAlignment="1" applyProtection="1">
      <alignment horizontal="right"/>
    </xf>
    <xf numFmtId="3" fontId="13" fillId="3" borderId="22" xfId="0" applyNumberFormat="1" applyFont="1" applyFill="1" applyBorder="1" applyAlignment="1" applyProtection="1">
      <alignment horizontal="right"/>
    </xf>
    <xf numFmtId="3" fontId="13" fillId="3" borderId="7" xfId="0" applyNumberFormat="1" applyFont="1" applyFill="1" applyBorder="1" applyAlignment="1" applyProtection="1">
      <alignment horizontal="right"/>
    </xf>
    <xf numFmtId="3" fontId="13" fillId="3" borderId="91" xfId="0" applyNumberFormat="1" applyFont="1" applyFill="1" applyBorder="1" applyAlignment="1" applyProtection="1">
      <alignment horizontal="right"/>
    </xf>
    <xf numFmtId="3" fontId="13" fillId="3" borderId="92" xfId="0" applyNumberFormat="1" applyFont="1" applyFill="1" applyBorder="1" applyAlignment="1" applyProtection="1">
      <alignment horizontal="right"/>
    </xf>
    <xf numFmtId="3" fontId="13" fillId="3" borderId="93" xfId="0" applyNumberFormat="1" applyFont="1" applyFill="1" applyBorder="1" applyAlignment="1" applyProtection="1">
      <alignment horizontal="right"/>
    </xf>
    <xf numFmtId="3" fontId="13" fillId="3" borderId="25" xfId="0" applyNumberFormat="1" applyFont="1" applyFill="1" applyBorder="1" applyAlignment="1" applyProtection="1">
      <alignment horizontal="right"/>
    </xf>
    <xf numFmtId="3" fontId="13" fillId="3" borderId="72" xfId="0" applyNumberFormat="1" applyFont="1" applyFill="1" applyBorder="1" applyAlignment="1" applyProtection="1">
      <alignment horizontal="right"/>
    </xf>
    <xf numFmtId="3" fontId="13" fillId="3" borderId="26" xfId="0" applyNumberFormat="1" applyFont="1" applyFill="1" applyBorder="1" applyAlignment="1" applyProtection="1">
      <alignment horizontal="right"/>
    </xf>
    <xf numFmtId="3" fontId="13" fillId="3" borderId="24" xfId="0" applyNumberFormat="1" applyFont="1" applyFill="1" applyBorder="1" applyAlignment="1" applyProtection="1">
      <alignment horizontal="right"/>
    </xf>
    <xf numFmtId="3" fontId="13" fillId="3" borderId="65" xfId="0" applyNumberFormat="1" applyFont="1" applyFill="1" applyBorder="1" applyAlignment="1" applyProtection="1">
      <alignment horizontal="right"/>
    </xf>
    <xf numFmtId="3" fontId="13" fillId="3" borderId="24" xfId="0" applyNumberFormat="1" applyFont="1" applyFill="1" applyBorder="1" applyAlignment="1" applyProtection="1"/>
    <xf numFmtId="3" fontId="13" fillId="3" borderId="25" xfId="0" applyNumberFormat="1" applyFont="1" applyFill="1" applyBorder="1" applyAlignment="1" applyProtection="1"/>
    <xf numFmtId="3" fontId="13" fillId="3" borderId="72" xfId="0" applyNumberFormat="1" applyFont="1" applyFill="1" applyBorder="1" applyAlignment="1" applyProtection="1"/>
    <xf numFmtId="3" fontId="13" fillId="3" borderId="26" xfId="0" applyNumberFormat="1" applyFont="1" applyFill="1" applyBorder="1" applyAlignment="1" applyProtection="1"/>
    <xf numFmtId="3" fontId="13" fillId="3" borderId="94" xfId="0" applyNumberFormat="1" applyFont="1" applyFill="1" applyBorder="1" applyAlignment="1" applyProtection="1">
      <alignment horizontal="right"/>
    </xf>
    <xf numFmtId="3" fontId="13" fillId="10" borderId="95" xfId="0" applyNumberFormat="1" applyFont="1" applyFill="1" applyBorder="1" applyAlignment="1" applyProtection="1">
      <alignment horizontal="right"/>
    </xf>
    <xf numFmtId="3" fontId="13" fillId="10" borderId="96" xfId="0" applyNumberFormat="1" applyFont="1" applyFill="1" applyBorder="1" applyAlignment="1" applyProtection="1">
      <alignment horizontal="right"/>
    </xf>
    <xf numFmtId="3" fontId="13" fillId="10" borderId="86" xfId="0" applyNumberFormat="1" applyFont="1" applyFill="1" applyBorder="1" applyAlignment="1" applyProtection="1">
      <alignment horizontal="right"/>
    </xf>
    <xf numFmtId="3" fontId="13" fillId="10" borderId="97" xfId="0" applyNumberFormat="1" applyFont="1" applyFill="1" applyBorder="1" applyAlignment="1" applyProtection="1">
      <alignment horizontal="right"/>
    </xf>
    <xf numFmtId="3" fontId="13" fillId="3" borderId="53" xfId="0" applyNumberFormat="1" applyFont="1" applyFill="1" applyBorder="1" applyAlignment="1" applyProtection="1">
      <alignment horizontal="right"/>
    </xf>
    <xf numFmtId="3" fontId="13" fillId="3" borderId="98" xfId="0" applyNumberFormat="1" applyFont="1" applyFill="1" applyBorder="1" applyAlignment="1" applyProtection="1">
      <alignment horizontal="right"/>
    </xf>
    <xf numFmtId="3" fontId="13" fillId="3" borderId="84" xfId="0" applyNumberFormat="1" applyFont="1" applyFill="1" applyBorder="1" applyAlignment="1" applyProtection="1">
      <alignment horizontal="right"/>
    </xf>
    <xf numFmtId="3" fontId="13" fillId="3" borderId="99" xfId="0" applyNumberFormat="1" applyFont="1" applyFill="1" applyBorder="1" applyAlignment="1" applyProtection="1">
      <alignment horizontal="right"/>
    </xf>
    <xf numFmtId="3" fontId="13" fillId="3" borderId="100" xfId="0" applyNumberFormat="1" applyFont="1" applyFill="1" applyBorder="1" applyAlignment="1" applyProtection="1">
      <alignment horizontal="right"/>
    </xf>
    <xf numFmtId="3" fontId="13" fillId="3" borderId="101" xfId="0" applyNumberFormat="1" applyFont="1" applyFill="1" applyBorder="1" applyAlignment="1" applyProtection="1">
      <alignment horizontal="right"/>
    </xf>
    <xf numFmtId="3" fontId="13" fillId="3" borderId="88" xfId="0" applyNumberFormat="1" applyFont="1" applyFill="1" applyBorder="1" applyAlignment="1" applyProtection="1">
      <alignment horizontal="right"/>
    </xf>
    <xf numFmtId="3" fontId="2" fillId="3" borderId="102" xfId="0" applyNumberFormat="1" applyFont="1" applyFill="1" applyBorder="1" applyProtection="1"/>
    <xf numFmtId="3" fontId="2" fillId="3" borderId="31" xfId="0" applyNumberFormat="1" applyFont="1" applyFill="1" applyBorder="1" applyProtection="1"/>
    <xf numFmtId="3" fontId="2" fillId="3" borderId="103" xfId="0" applyNumberFormat="1" applyFont="1" applyFill="1" applyBorder="1" applyProtection="1"/>
    <xf numFmtId="3" fontId="13" fillId="3" borderId="31" xfId="0" applyNumberFormat="1" applyFont="1" applyFill="1" applyBorder="1" applyProtection="1"/>
    <xf numFmtId="3" fontId="13" fillId="3" borderId="32" xfId="0" applyNumberFormat="1" applyFont="1" applyFill="1" applyBorder="1" applyProtection="1"/>
    <xf numFmtId="3" fontId="13" fillId="3" borderId="80" xfId="0" applyNumberFormat="1" applyFont="1" applyFill="1" applyBorder="1" applyProtection="1"/>
    <xf numFmtId="3" fontId="2" fillId="3" borderId="104" xfId="0" applyNumberFormat="1" applyFont="1" applyFill="1" applyBorder="1" applyProtection="1"/>
    <xf numFmtId="3" fontId="13" fillId="3" borderId="103" xfId="0" applyNumberFormat="1" applyFont="1" applyFill="1" applyBorder="1" applyAlignment="1" applyProtection="1">
      <alignment horizontal="right"/>
    </xf>
    <xf numFmtId="3" fontId="13" fillId="3" borderId="33" xfId="0" applyNumberFormat="1" applyFont="1" applyFill="1" applyBorder="1" applyAlignment="1" applyProtection="1">
      <alignment horizontal="right"/>
    </xf>
    <xf numFmtId="3" fontId="13" fillId="3" borderId="45" xfId="0" applyNumberFormat="1" applyFont="1" applyFill="1" applyBorder="1" applyAlignment="1" applyProtection="1">
      <alignment horizontal="right"/>
    </xf>
    <xf numFmtId="3" fontId="13" fillId="3" borderId="33" xfId="0" applyNumberFormat="1" applyFont="1" applyFill="1" applyBorder="1" applyAlignment="1" applyProtection="1"/>
    <xf numFmtId="3" fontId="13" fillId="3" borderId="45" xfId="0" applyNumberFormat="1" applyFont="1" applyFill="1" applyBorder="1" applyAlignment="1" applyProtection="1"/>
    <xf numFmtId="3" fontId="13" fillId="3" borderId="105" xfId="0" applyNumberFormat="1" applyFont="1" applyFill="1" applyBorder="1" applyAlignment="1" applyProtection="1">
      <alignment horizontal="right"/>
    </xf>
    <xf numFmtId="3" fontId="2" fillId="3" borderId="106" xfId="0" applyNumberFormat="1" applyFont="1" applyFill="1" applyBorder="1" applyAlignment="1" applyProtection="1">
      <alignment horizontal="right"/>
    </xf>
    <xf numFmtId="3" fontId="35" fillId="3" borderId="77" xfId="0" applyNumberFormat="1" applyFont="1" applyFill="1" applyBorder="1" applyAlignment="1" applyProtection="1">
      <alignment horizontal="right"/>
    </xf>
    <xf numFmtId="3" fontId="35" fillId="3" borderId="107" xfId="0" applyNumberFormat="1" applyFont="1" applyFill="1" applyBorder="1" applyAlignment="1" applyProtection="1">
      <alignment horizontal="right"/>
    </xf>
    <xf numFmtId="3" fontId="35" fillId="3" borderId="25" xfId="0" applyNumberFormat="1" applyFont="1" applyFill="1" applyBorder="1" applyAlignment="1" applyProtection="1">
      <alignment horizontal="right"/>
    </xf>
    <xf numFmtId="3" fontId="35" fillId="3" borderId="26" xfId="0" applyNumberFormat="1" applyFont="1" applyFill="1" applyBorder="1" applyAlignment="1" applyProtection="1">
      <alignment horizontal="right"/>
    </xf>
    <xf numFmtId="0" fontId="1" fillId="7" borderId="0" xfId="0" applyFont="1" applyFill="1" applyProtection="1"/>
    <xf numFmtId="3" fontId="1" fillId="2" borderId="0" xfId="0" applyNumberFormat="1" applyFont="1" applyFill="1" applyProtection="1"/>
    <xf numFmtId="3" fontId="1" fillId="0" borderId="0" xfId="0" applyNumberFormat="1" applyFont="1" applyProtection="1"/>
    <xf numFmtId="3" fontId="1" fillId="0" borderId="0" xfId="0" applyNumberFormat="1" applyFont="1" applyFill="1" applyBorder="1" applyProtection="1"/>
    <xf numFmtId="0" fontId="0" fillId="10" borderId="0" xfId="0" applyFill="1" applyBorder="1"/>
    <xf numFmtId="0" fontId="0" fillId="0" borderId="0" xfId="0" applyBorder="1"/>
    <xf numFmtId="0" fontId="0" fillId="0" borderId="67" xfId="0" applyBorder="1"/>
    <xf numFmtId="49" fontId="2" fillId="10" borderId="11" xfId="0" applyNumberFormat="1" applyFont="1" applyFill="1" applyBorder="1" applyAlignment="1" applyProtection="1"/>
    <xf numFmtId="49" fontId="2" fillId="10" borderId="76" xfId="0" applyNumberFormat="1" applyFont="1" applyFill="1" applyBorder="1" applyAlignment="1" applyProtection="1"/>
    <xf numFmtId="49" fontId="2" fillId="10" borderId="39" xfId="0" applyNumberFormat="1" applyFont="1" applyFill="1" applyBorder="1" applyAlignment="1" applyProtection="1"/>
    <xf numFmtId="49" fontId="2" fillId="10" borderId="78" xfId="0" applyNumberFormat="1" applyFont="1" applyFill="1" applyBorder="1" applyAlignment="1" applyProtection="1"/>
    <xf numFmtId="49" fontId="2" fillId="10" borderId="36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center"/>
    </xf>
    <xf numFmtId="0" fontId="91" fillId="0" borderId="0" xfId="5" applyFont="1" applyProtection="1"/>
    <xf numFmtId="3" fontId="2" fillId="9" borderId="113" xfId="5" applyNumberFormat="1" applyFont="1" applyFill="1" applyBorder="1" applyProtection="1"/>
    <xf numFmtId="3" fontId="2" fillId="9" borderId="7" xfId="5" applyNumberFormat="1" applyFont="1" applyFill="1" applyBorder="1" applyProtection="1"/>
    <xf numFmtId="3" fontId="2" fillId="9" borderId="106" xfId="5" applyNumberFormat="1" applyFont="1" applyFill="1" applyBorder="1" applyProtection="1"/>
    <xf numFmtId="3" fontId="2" fillId="9" borderId="91" xfId="5" applyNumberFormat="1" applyFont="1" applyFill="1" applyBorder="1" applyProtection="1"/>
    <xf numFmtId="3" fontId="2" fillId="9" borderId="114" xfId="5" applyNumberFormat="1" applyFont="1" applyFill="1" applyBorder="1" applyProtection="1"/>
    <xf numFmtId="0" fontId="92" fillId="0" borderId="0" xfId="5" applyFont="1" applyProtection="1"/>
    <xf numFmtId="3" fontId="2" fillId="3" borderId="18" xfId="0" applyNumberFormat="1" applyFont="1" applyFill="1" applyBorder="1" applyAlignment="1" applyProtection="1">
      <alignment horizontal="right"/>
    </xf>
    <xf numFmtId="3" fontId="2" fillId="9" borderId="22" xfId="0" applyNumberFormat="1" applyFont="1" applyFill="1" applyBorder="1" applyAlignment="1" applyProtection="1">
      <alignment horizontal="right"/>
    </xf>
    <xf numFmtId="3" fontId="2" fillId="3" borderId="115" xfId="0" applyNumberFormat="1" applyFont="1" applyFill="1" applyBorder="1" applyAlignment="1" applyProtection="1">
      <alignment horizontal="right"/>
    </xf>
    <xf numFmtId="3" fontId="2" fillId="2" borderId="21" xfId="0" applyNumberFormat="1" applyFont="1" applyFill="1" applyBorder="1" applyAlignment="1" applyProtection="1">
      <alignment horizontal="right"/>
      <protection locked="0"/>
    </xf>
    <xf numFmtId="3" fontId="2" fillId="2" borderId="22" xfId="0" applyNumberFormat="1" applyFont="1" applyFill="1" applyBorder="1" applyAlignment="1" applyProtection="1">
      <alignment horizontal="right"/>
      <protection locked="0"/>
    </xf>
    <xf numFmtId="3" fontId="2" fillId="3" borderId="116" xfId="0" applyNumberFormat="1" applyFont="1" applyFill="1" applyBorder="1" applyAlignment="1" applyProtection="1">
      <alignment horizontal="right"/>
    </xf>
    <xf numFmtId="3" fontId="2" fillId="14" borderId="18" xfId="0" applyNumberFormat="1" applyFont="1" applyFill="1" applyBorder="1" applyAlignment="1" applyProtection="1">
      <alignment horizontal="right"/>
      <protection locked="0"/>
    </xf>
    <xf numFmtId="3" fontId="13" fillId="3" borderId="108" xfId="0" applyNumberFormat="1" applyFont="1" applyFill="1" applyBorder="1" applyAlignment="1" applyProtection="1">
      <alignment horizontal="right"/>
    </xf>
    <xf numFmtId="3" fontId="13" fillId="10" borderId="30" xfId="0" applyNumberFormat="1" applyFont="1" applyFill="1" applyBorder="1" applyAlignment="1" applyProtection="1">
      <alignment horizontal="right"/>
    </xf>
    <xf numFmtId="3" fontId="13" fillId="10" borderId="31" xfId="0" applyNumberFormat="1" applyFont="1" applyFill="1" applyBorder="1" applyAlignment="1" applyProtection="1">
      <alignment horizontal="right"/>
    </xf>
    <xf numFmtId="3" fontId="13" fillId="10" borderId="23" xfId="0" applyNumberFormat="1" applyFont="1" applyFill="1" applyBorder="1" applyAlignment="1" applyProtection="1">
      <alignment horizontal="right"/>
    </xf>
    <xf numFmtId="3" fontId="13" fillId="10" borderId="9" xfId="0" applyNumberFormat="1" applyFont="1" applyFill="1" applyBorder="1" applyAlignment="1" applyProtection="1">
      <alignment horizontal="right"/>
    </xf>
    <xf numFmtId="3" fontId="13" fillId="10" borderId="20" xfId="0" applyNumberFormat="1" applyFont="1" applyFill="1" applyBorder="1" applyAlignment="1" applyProtection="1">
      <alignment horizontal="right"/>
    </xf>
    <xf numFmtId="3" fontId="13" fillId="10" borderId="10" xfId="0" applyNumberFormat="1" applyFont="1" applyFill="1" applyBorder="1" applyAlignment="1" applyProtection="1">
      <alignment horizontal="right"/>
    </xf>
    <xf numFmtId="3" fontId="13" fillId="10" borderId="14" xfId="0" applyNumberFormat="1" applyFont="1" applyFill="1" applyBorder="1" applyAlignment="1" applyProtection="1">
      <alignment horizontal="right"/>
    </xf>
    <xf numFmtId="3" fontId="13" fillId="2" borderId="55" xfId="0" applyNumberFormat="1" applyFont="1" applyFill="1" applyBorder="1" applyAlignment="1" applyProtection="1">
      <alignment horizontal="right"/>
      <protection locked="0"/>
    </xf>
    <xf numFmtId="3" fontId="13" fillId="2" borderId="54" xfId="0" applyNumberFormat="1" applyFont="1" applyFill="1" applyBorder="1" applyAlignment="1" applyProtection="1">
      <alignment horizontal="right"/>
      <protection locked="0"/>
    </xf>
    <xf numFmtId="3" fontId="13" fillId="2" borderId="65" xfId="0" applyNumberFormat="1" applyFont="1" applyFill="1" applyBorder="1" applyAlignment="1" applyProtection="1">
      <alignment horizontal="right"/>
      <protection locked="0"/>
    </xf>
    <xf numFmtId="3" fontId="13" fillId="10" borderId="101" xfId="0" applyNumberFormat="1" applyFont="1" applyFill="1" applyBorder="1" applyAlignment="1" applyProtection="1">
      <alignment horizontal="right"/>
    </xf>
    <xf numFmtId="3" fontId="13" fillId="10" borderId="117" xfId="0" applyNumberFormat="1" applyFont="1" applyFill="1" applyBorder="1" applyAlignment="1" applyProtection="1">
      <alignment horizontal="right"/>
    </xf>
    <xf numFmtId="3" fontId="13" fillId="10" borderId="118" xfId="0" applyNumberFormat="1" applyFont="1" applyFill="1" applyBorder="1" applyAlignment="1" applyProtection="1">
      <alignment horizontal="right"/>
    </xf>
    <xf numFmtId="3" fontId="13" fillId="10" borderId="88" xfId="0" applyNumberFormat="1" applyFont="1" applyFill="1" applyBorder="1" applyAlignment="1" applyProtection="1">
      <alignment horizontal="right"/>
    </xf>
    <xf numFmtId="3" fontId="13" fillId="10" borderId="4" xfId="0" applyNumberFormat="1" applyFont="1" applyFill="1" applyBorder="1" applyAlignment="1" applyProtection="1">
      <alignment horizontal="right"/>
    </xf>
    <xf numFmtId="3" fontId="13" fillId="10" borderId="3" xfId="0" applyNumberFormat="1" applyFont="1" applyFill="1" applyBorder="1" applyAlignment="1" applyProtection="1">
      <alignment horizontal="right"/>
    </xf>
    <xf numFmtId="3" fontId="13" fillId="10" borderId="2" xfId="0" applyNumberFormat="1" applyFont="1" applyFill="1" applyBorder="1" applyAlignment="1" applyProtection="1">
      <alignment horizontal="right"/>
    </xf>
    <xf numFmtId="3" fontId="13" fillId="10" borderId="18" xfId="0" applyNumberFormat="1" applyFont="1" applyFill="1" applyBorder="1" applyAlignment="1" applyProtection="1">
      <alignment horizontal="right"/>
    </xf>
    <xf numFmtId="3" fontId="13" fillId="10" borderId="98" xfId="0" applyNumberFormat="1" applyFont="1" applyFill="1" applyBorder="1" applyAlignment="1" applyProtection="1">
      <alignment horizontal="right"/>
    </xf>
    <xf numFmtId="3" fontId="13" fillId="10" borderId="21" xfId="0" applyNumberFormat="1" applyFont="1" applyFill="1" applyBorder="1" applyAlignment="1" applyProtection="1">
      <alignment horizontal="right"/>
    </xf>
    <xf numFmtId="3" fontId="13" fillId="10" borderId="47" xfId="0" applyNumberFormat="1" applyFont="1" applyFill="1" applyBorder="1" applyAlignment="1" applyProtection="1">
      <alignment horizontal="right"/>
    </xf>
    <xf numFmtId="3" fontId="13" fillId="10" borderId="119" xfId="0" applyNumberFormat="1" applyFont="1" applyFill="1" applyBorder="1" applyAlignment="1" applyProtection="1">
      <alignment horizontal="right"/>
    </xf>
    <xf numFmtId="3" fontId="13" fillId="10" borderId="28" xfId="0" applyNumberFormat="1" applyFont="1" applyFill="1" applyBorder="1" applyAlignment="1" applyProtection="1">
      <alignment horizontal="right"/>
    </xf>
    <xf numFmtId="3" fontId="13" fillId="10" borderId="103" xfId="0" applyNumberFormat="1" applyFont="1" applyFill="1" applyBorder="1" applyAlignment="1" applyProtection="1">
      <alignment horizontal="right"/>
    </xf>
    <xf numFmtId="3" fontId="13" fillId="10" borderId="29" xfId="0" applyNumberFormat="1" applyFont="1" applyFill="1" applyBorder="1" applyAlignment="1" applyProtection="1">
      <alignment horizontal="right"/>
    </xf>
    <xf numFmtId="3" fontId="13" fillId="10" borderId="32" xfId="0" applyNumberFormat="1" applyFont="1" applyFill="1" applyBorder="1" applyAlignment="1" applyProtection="1">
      <alignment horizontal="right"/>
    </xf>
    <xf numFmtId="3" fontId="13" fillId="10" borderId="22" xfId="0" applyNumberFormat="1" applyFont="1" applyFill="1" applyBorder="1" applyAlignment="1" applyProtection="1">
      <alignment horizontal="right"/>
    </xf>
    <xf numFmtId="3" fontId="13" fillId="10" borderId="5" xfId="0" applyNumberFormat="1" applyFont="1" applyFill="1" applyBorder="1" applyAlignment="1" applyProtection="1">
      <alignment horizontal="right"/>
    </xf>
    <xf numFmtId="3" fontId="13" fillId="10" borderId="19" xfId="0" applyNumberFormat="1" applyFont="1" applyFill="1" applyBorder="1" applyAlignment="1" applyProtection="1">
      <alignment horizontal="right"/>
    </xf>
    <xf numFmtId="3" fontId="13" fillId="10" borderId="6" xfId="0" applyNumberFormat="1" applyFont="1" applyFill="1" applyBorder="1" applyAlignment="1" applyProtection="1">
      <alignment horizontal="right"/>
    </xf>
    <xf numFmtId="3" fontId="13" fillId="10" borderId="7" xfId="0" applyNumberFormat="1" applyFont="1" applyFill="1" applyBorder="1" applyAlignment="1" applyProtection="1">
      <alignment horizontal="right"/>
    </xf>
    <xf numFmtId="0" fontId="23" fillId="10" borderId="96" xfId="0" applyFont="1" applyFill="1" applyBorder="1" applyProtection="1"/>
    <xf numFmtId="0" fontId="23" fillId="10" borderId="120" xfId="0" applyFont="1" applyFill="1" applyBorder="1" applyProtection="1"/>
    <xf numFmtId="0" fontId="23" fillId="10" borderId="121" xfId="0" applyFont="1" applyFill="1" applyBorder="1" applyProtection="1"/>
    <xf numFmtId="0" fontId="23" fillId="10" borderId="65" xfId="0" applyFont="1" applyFill="1" applyBorder="1" applyProtection="1"/>
    <xf numFmtId="0" fontId="23" fillId="10" borderId="82" xfId="0" applyFont="1" applyFill="1" applyBorder="1" applyProtection="1"/>
    <xf numFmtId="0" fontId="23" fillId="10" borderId="53" xfId="0" applyFont="1" applyFill="1" applyBorder="1" applyProtection="1"/>
    <xf numFmtId="0" fontId="23" fillId="10" borderId="98" xfId="0" applyFont="1" applyFill="1" applyBorder="1" applyProtection="1"/>
    <xf numFmtId="0" fontId="23" fillId="10" borderId="118" xfId="0" applyFont="1" applyFill="1" applyBorder="1" applyProtection="1"/>
    <xf numFmtId="0" fontId="23" fillId="10" borderId="21" xfId="0" applyFont="1" applyFill="1" applyBorder="1" applyProtection="1"/>
    <xf numFmtId="0" fontId="23" fillId="10" borderId="2" xfId="0" applyFont="1" applyFill="1" applyBorder="1" applyProtection="1"/>
    <xf numFmtId="0" fontId="23" fillId="10" borderId="47" xfId="0" applyFont="1" applyFill="1" applyBorder="1" applyProtection="1"/>
    <xf numFmtId="0" fontId="23" fillId="10" borderId="119" xfId="0" applyFont="1" applyFill="1" applyBorder="1" applyProtection="1"/>
    <xf numFmtId="0" fontId="23" fillId="10" borderId="28" xfId="0" applyFont="1" applyFill="1" applyBorder="1" applyProtection="1"/>
    <xf numFmtId="0" fontId="23" fillId="10" borderId="103" xfId="0" applyFont="1" applyFill="1" applyBorder="1" applyProtection="1"/>
    <xf numFmtId="3" fontId="13" fillId="10" borderId="109" xfId="0" applyNumberFormat="1" applyFont="1" applyFill="1" applyBorder="1" applyAlignment="1" applyProtection="1">
      <alignment horizontal="right"/>
    </xf>
    <xf numFmtId="3" fontId="13" fillId="2" borderId="82" xfId="0" applyNumberFormat="1" applyFont="1" applyFill="1" applyBorder="1" applyAlignment="1" applyProtection="1">
      <alignment horizontal="right"/>
      <protection locked="0"/>
    </xf>
    <xf numFmtId="0" fontId="23" fillId="10" borderId="7" xfId="0" applyFont="1" applyFill="1" applyBorder="1" applyProtection="1"/>
    <xf numFmtId="0" fontId="23" fillId="10" borderId="6" xfId="0" applyFont="1" applyFill="1" applyBorder="1" applyProtection="1"/>
    <xf numFmtId="0" fontId="23" fillId="10" borderId="5" xfId="0" applyFont="1" applyFill="1" applyBorder="1" applyProtection="1"/>
    <xf numFmtId="3" fontId="13" fillId="15" borderId="5" xfId="0" applyNumberFormat="1" applyFont="1" applyFill="1" applyBorder="1" applyAlignment="1" applyProtection="1">
      <alignment horizontal="right"/>
    </xf>
    <xf numFmtId="3" fontId="13" fillId="15" borderId="6" xfId="0" applyNumberFormat="1" applyFont="1" applyFill="1" applyBorder="1" applyAlignment="1" applyProtection="1">
      <alignment horizontal="right"/>
    </xf>
    <xf numFmtId="0" fontId="23" fillId="10" borderId="19" xfId="0" applyFont="1" applyFill="1" applyBorder="1" applyProtection="1"/>
    <xf numFmtId="0" fontId="23" fillId="10" borderId="22" xfId="0" applyFont="1" applyFill="1" applyBorder="1" applyProtection="1"/>
    <xf numFmtId="0" fontId="23" fillId="10" borderId="29" xfId="0" applyFont="1" applyFill="1" applyBorder="1" applyProtection="1"/>
    <xf numFmtId="0" fontId="23" fillId="10" borderId="32" xfId="0" applyFont="1" applyFill="1" applyBorder="1" applyProtection="1"/>
    <xf numFmtId="3" fontId="13" fillId="2" borderId="122" xfId="0" applyNumberFormat="1" applyFont="1" applyFill="1" applyBorder="1" applyAlignment="1" applyProtection="1">
      <alignment horizontal="right"/>
    </xf>
    <xf numFmtId="3" fontId="13" fillId="10" borderId="14" xfId="0" applyNumberFormat="1" applyFont="1" applyFill="1" applyBorder="1" applyAlignment="1" applyProtection="1">
      <alignment horizontal="left"/>
    </xf>
    <xf numFmtId="3" fontId="13" fillId="10" borderId="10" xfId="0" applyNumberFormat="1" applyFont="1" applyFill="1" applyBorder="1" applyAlignment="1" applyProtection="1">
      <alignment horizontal="left"/>
    </xf>
    <xf numFmtId="3" fontId="13" fillId="10" borderId="9" xfId="0" applyNumberFormat="1" applyFont="1" applyFill="1" applyBorder="1" applyAlignment="1" applyProtection="1">
      <alignment horizontal="left"/>
    </xf>
    <xf numFmtId="3" fontId="13" fillId="10" borderId="20" xfId="0" applyNumberFormat="1" applyFont="1" applyFill="1" applyBorder="1" applyAlignment="1" applyProtection="1">
      <alignment horizontal="left"/>
    </xf>
    <xf numFmtId="3" fontId="13" fillId="10" borderId="23" xfId="0" applyNumberFormat="1" applyFont="1" applyFill="1" applyBorder="1" applyAlignment="1" applyProtection="1">
      <alignment horizontal="left"/>
    </xf>
    <xf numFmtId="3" fontId="13" fillId="16" borderId="20" xfId="0" applyNumberFormat="1" applyFont="1" applyFill="1" applyBorder="1" applyAlignment="1" applyProtection="1">
      <alignment horizontal="left"/>
    </xf>
    <xf numFmtId="3" fontId="13" fillId="10" borderId="30" xfId="0" applyNumberFormat="1" applyFont="1" applyFill="1" applyBorder="1" applyAlignment="1" applyProtection="1">
      <alignment horizontal="left"/>
    </xf>
    <xf numFmtId="3" fontId="13" fillId="10" borderId="31" xfId="0" applyNumberFormat="1" applyFont="1" applyFill="1" applyBorder="1" applyAlignment="1" applyProtection="1">
      <alignment horizontal="left"/>
    </xf>
    <xf numFmtId="0" fontId="88" fillId="0" borderId="11" xfId="5" applyFont="1" applyBorder="1" applyProtection="1"/>
    <xf numFmtId="0" fontId="22" fillId="0" borderId="87" xfId="5" applyBorder="1" applyProtection="1"/>
    <xf numFmtId="0" fontId="88" fillId="0" borderId="74" xfId="5" applyFont="1" applyBorder="1" applyProtection="1"/>
    <xf numFmtId="49" fontId="93" fillId="7" borderId="0" xfId="0" applyNumberFormat="1" applyFont="1" applyFill="1" applyProtection="1"/>
    <xf numFmtId="0" fontId="93" fillId="7" borderId="0" xfId="0" applyFont="1" applyFill="1" applyProtection="1"/>
    <xf numFmtId="49" fontId="95" fillId="7" borderId="0" xfId="0" applyNumberFormat="1" applyFont="1" applyFill="1" applyProtection="1"/>
    <xf numFmtId="0" fontId="95" fillId="7" borderId="0" xfId="0" applyFont="1" applyFill="1" applyProtection="1"/>
    <xf numFmtId="0" fontId="0" fillId="7" borderId="0" xfId="0" applyFill="1" applyAlignment="1" applyProtection="1">
      <alignment horizontal="right"/>
    </xf>
    <xf numFmtId="0" fontId="96" fillId="7" borderId="0" xfId="0" applyFont="1" applyFill="1" applyProtection="1"/>
    <xf numFmtId="49" fontId="95" fillId="7" borderId="0" xfId="0" applyNumberFormat="1" applyFont="1" applyFill="1" applyAlignment="1" applyProtection="1">
      <alignment horizontal="right"/>
    </xf>
    <xf numFmtId="49" fontId="94" fillId="7" borderId="0" xfId="0" applyNumberFormat="1" applyFont="1" applyFill="1" applyAlignment="1" applyProtection="1">
      <alignment horizontal="right"/>
    </xf>
    <xf numFmtId="49" fontId="95" fillId="7" borderId="0" xfId="5" applyNumberFormat="1" applyFont="1" applyFill="1" applyBorder="1" applyAlignment="1" applyProtection="1">
      <alignment horizontal="left"/>
    </xf>
    <xf numFmtId="0" fontId="95" fillId="7" borderId="0" xfId="5" applyFont="1" applyFill="1" applyProtection="1"/>
    <xf numFmtId="49" fontId="95" fillId="7" borderId="0" xfId="0" applyNumberFormat="1" applyFont="1" applyFill="1" applyAlignment="1" applyProtection="1"/>
    <xf numFmtId="0" fontId="95" fillId="7" borderId="0" xfId="0" applyFont="1" applyFill="1" applyAlignment="1" applyProtection="1"/>
    <xf numFmtId="3" fontId="2" fillId="0" borderId="18" xfId="0" applyNumberFormat="1" applyFont="1" applyFill="1" applyBorder="1" applyAlignment="1" applyProtection="1">
      <alignment horizontal="right"/>
      <protection locked="0"/>
    </xf>
    <xf numFmtId="3" fontId="48" fillId="0" borderId="39" xfId="0" applyNumberFormat="1" applyFont="1" applyFill="1" applyBorder="1" applyProtection="1"/>
    <xf numFmtId="3" fontId="7" fillId="0" borderId="39" xfId="0" applyNumberFormat="1" applyFont="1" applyFill="1" applyBorder="1" applyProtection="1"/>
    <xf numFmtId="3" fontId="3" fillId="0" borderId="67" xfId="0" applyNumberFormat="1" applyFont="1" applyFill="1" applyBorder="1" applyAlignment="1" applyProtection="1">
      <alignment horizontal="right"/>
    </xf>
    <xf numFmtId="3" fontId="34" fillId="0" borderId="39" xfId="0" applyNumberFormat="1" applyFont="1" applyFill="1" applyBorder="1" applyAlignment="1" applyProtection="1">
      <alignment horizontal="right"/>
    </xf>
    <xf numFmtId="0" fontId="79" fillId="2" borderId="67" xfId="10" applyFont="1" applyFill="1" applyBorder="1" applyProtection="1"/>
    <xf numFmtId="0" fontId="7" fillId="0" borderId="39" xfId="0" applyFont="1" applyFill="1" applyBorder="1" applyProtection="1"/>
    <xf numFmtId="3" fontId="13" fillId="3" borderId="8" xfId="0" applyNumberFormat="1" applyFont="1" applyFill="1" applyBorder="1" applyAlignment="1" applyProtection="1">
      <alignment horizontal="right"/>
    </xf>
    <xf numFmtId="3" fontId="34" fillId="2" borderId="39" xfId="0" applyNumberFormat="1" applyFont="1" applyFill="1" applyBorder="1" applyAlignment="1" applyProtection="1">
      <alignment horizontal="left"/>
    </xf>
    <xf numFmtId="3" fontId="101" fillId="2" borderId="0" xfId="0" applyNumberFormat="1" applyFont="1" applyFill="1" applyBorder="1" applyAlignment="1" applyProtection="1">
      <alignment horizontal="right"/>
    </xf>
    <xf numFmtId="3" fontId="101" fillId="5" borderId="0" xfId="0" applyNumberFormat="1" applyFont="1" applyFill="1" applyBorder="1" applyAlignment="1" applyProtection="1">
      <alignment horizontal="right"/>
    </xf>
    <xf numFmtId="3" fontId="101" fillId="4" borderId="0" xfId="0" applyNumberFormat="1" applyFont="1" applyFill="1" applyBorder="1" applyAlignment="1" applyProtection="1">
      <alignment horizontal="right"/>
    </xf>
    <xf numFmtId="3" fontId="101" fillId="6" borderId="0" xfId="0" applyNumberFormat="1" applyFont="1" applyFill="1" applyBorder="1" applyAlignment="1" applyProtection="1">
      <alignment horizontal="right"/>
    </xf>
    <xf numFmtId="0" fontId="102" fillId="0" borderId="0" xfId="0" applyFont="1" applyFill="1" applyBorder="1" applyProtection="1"/>
    <xf numFmtId="49" fontId="3" fillId="20" borderId="127" xfId="0" applyNumberFormat="1" applyFont="1" applyFill="1" applyBorder="1" applyAlignment="1" applyProtection="1">
      <alignment horizontal="center"/>
    </xf>
    <xf numFmtId="0" fontId="5" fillId="20" borderId="13" xfId="0" applyFont="1" applyFill="1" applyBorder="1" applyProtection="1"/>
    <xf numFmtId="49" fontId="3" fillId="20" borderId="5" xfId="0" applyNumberFormat="1" applyFont="1" applyFill="1" applyBorder="1" applyAlignment="1" applyProtection="1">
      <alignment horizontal="center" wrapText="1"/>
    </xf>
    <xf numFmtId="49" fontId="3" fillId="20" borderId="84" xfId="0" applyNumberFormat="1" applyFont="1" applyFill="1" applyBorder="1" applyAlignment="1" applyProtection="1">
      <alignment horizontal="center" wrapText="1"/>
    </xf>
    <xf numFmtId="0" fontId="8" fillId="20" borderId="9" xfId="0" applyFont="1" applyFill="1" applyBorder="1" applyAlignment="1" applyProtection="1">
      <alignment horizontal="center" wrapText="1"/>
    </xf>
    <xf numFmtId="49" fontId="3" fillId="20" borderId="2" xfId="0" applyNumberFormat="1" applyFont="1" applyFill="1" applyBorder="1" applyAlignment="1" applyProtection="1">
      <alignment horizontal="center" wrapText="1"/>
    </xf>
    <xf numFmtId="0" fontId="8" fillId="20" borderId="5" xfId="0" applyFont="1" applyFill="1" applyBorder="1" applyAlignment="1" applyProtection="1">
      <alignment horizontal="center"/>
    </xf>
    <xf numFmtId="0" fontId="3" fillId="20" borderId="68" xfId="0" applyFont="1" applyFill="1" applyBorder="1" applyAlignment="1" applyProtection="1">
      <alignment horizontal="center"/>
    </xf>
    <xf numFmtId="3" fontId="3" fillId="20" borderId="128" xfId="0" applyNumberFormat="1" applyFont="1" applyFill="1" applyBorder="1" applyAlignment="1" applyProtection="1"/>
    <xf numFmtId="0" fontId="3" fillId="20" borderId="23" xfId="0" applyFont="1" applyFill="1" applyBorder="1" applyAlignment="1" applyProtection="1">
      <alignment horizontal="center"/>
    </xf>
    <xf numFmtId="0" fontId="3" fillId="20" borderId="9" xfId="0" applyFont="1" applyFill="1" applyBorder="1" applyAlignment="1" applyProtection="1">
      <alignment horizontal="center"/>
    </xf>
    <xf numFmtId="0" fontId="5" fillId="20" borderId="9" xfId="0" applyFont="1" applyFill="1" applyBorder="1" applyAlignment="1" applyProtection="1">
      <alignment horizontal="left"/>
    </xf>
    <xf numFmtId="0" fontId="3" fillId="20" borderId="129" xfId="0" applyFont="1" applyFill="1" applyBorder="1" applyAlignment="1" applyProtection="1">
      <alignment horizontal="center"/>
    </xf>
    <xf numFmtId="0" fontId="8" fillId="20" borderId="13" xfId="0" applyFont="1" applyFill="1" applyBorder="1" applyAlignment="1" applyProtection="1">
      <alignment horizontal="center"/>
    </xf>
    <xf numFmtId="0" fontId="14" fillId="20" borderId="13" xfId="0" applyFont="1" applyFill="1" applyBorder="1" applyAlignment="1" applyProtection="1">
      <alignment horizontal="left"/>
    </xf>
    <xf numFmtId="0" fontId="3" fillId="20" borderId="22" xfId="0" applyFont="1" applyFill="1" applyBorder="1" applyAlignment="1" applyProtection="1">
      <alignment horizontal="center"/>
    </xf>
    <xf numFmtId="0" fontId="8" fillId="20" borderId="5" xfId="0" applyFont="1" applyFill="1" applyBorder="1" applyAlignment="1" applyProtection="1">
      <alignment wrapText="1"/>
    </xf>
    <xf numFmtId="0" fontId="3" fillId="20" borderId="21" xfId="0" applyFont="1" applyFill="1" applyBorder="1" applyAlignment="1" applyProtection="1">
      <alignment horizontal="center"/>
    </xf>
    <xf numFmtId="0" fontId="3" fillId="20" borderId="2" xfId="0" applyFont="1" applyFill="1" applyBorder="1" applyProtection="1"/>
    <xf numFmtId="0" fontId="3" fillId="20" borderId="130" xfId="0" applyFont="1" applyFill="1" applyBorder="1" applyAlignment="1" applyProtection="1">
      <alignment horizontal="center"/>
    </xf>
    <xf numFmtId="1" fontId="3" fillId="20" borderId="15" xfId="0" applyNumberFormat="1" applyFont="1" applyFill="1" applyBorder="1" applyAlignment="1" applyProtection="1">
      <alignment horizontal="center"/>
    </xf>
    <xf numFmtId="0" fontId="3" fillId="20" borderId="15" xfId="0" applyFont="1" applyFill="1" applyBorder="1" applyProtection="1"/>
    <xf numFmtId="1" fontId="3" fillId="20" borderId="5" xfId="0" applyNumberFormat="1" applyFont="1" applyFill="1" applyBorder="1" applyAlignment="1" applyProtection="1">
      <alignment horizontal="center"/>
    </xf>
    <xf numFmtId="0" fontId="3" fillId="20" borderId="5" xfId="0" applyFont="1" applyFill="1" applyBorder="1" applyProtection="1"/>
    <xf numFmtId="0" fontId="3" fillId="20" borderId="50" xfId="0" applyFont="1" applyFill="1" applyBorder="1" applyAlignment="1" applyProtection="1">
      <alignment horizontal="center"/>
    </xf>
    <xf numFmtId="1" fontId="3" fillId="20" borderId="2" xfId="0" applyNumberFormat="1" applyFont="1" applyFill="1" applyBorder="1" applyAlignment="1" applyProtection="1">
      <alignment horizontal="center"/>
    </xf>
    <xf numFmtId="0" fontId="3" fillId="20" borderId="24" xfId="0" applyFont="1" applyFill="1" applyBorder="1" applyAlignment="1" applyProtection="1">
      <alignment horizontal="center"/>
    </xf>
    <xf numFmtId="1" fontId="5" fillId="20" borderId="13" xfId="0" applyNumberFormat="1" applyFont="1" applyFill="1" applyBorder="1" applyAlignment="1" applyProtection="1">
      <alignment horizontal="center"/>
    </xf>
    <xf numFmtId="0" fontId="8" fillId="20" borderId="131" xfId="0" applyFont="1" applyFill="1" applyBorder="1" applyAlignment="1" applyProtection="1">
      <alignment horizontal="center"/>
    </xf>
    <xf numFmtId="1" fontId="8" fillId="20" borderId="2" xfId="0" applyNumberFormat="1" applyFont="1" applyFill="1" applyBorder="1" applyAlignment="1" applyProtection="1">
      <alignment horizontal="center"/>
    </xf>
    <xf numFmtId="0" fontId="8" fillId="20" borderId="2" xfId="0" applyFont="1" applyFill="1" applyBorder="1" applyProtection="1"/>
    <xf numFmtId="1" fontId="14" fillId="20" borderId="13" xfId="0" applyNumberFormat="1" applyFont="1" applyFill="1" applyBorder="1" applyAlignment="1" applyProtection="1">
      <alignment horizontal="center"/>
    </xf>
    <xf numFmtId="0" fontId="14" fillId="20" borderId="13" xfId="0" applyFont="1" applyFill="1" applyBorder="1" applyProtection="1"/>
    <xf numFmtId="0" fontId="3" fillId="20" borderId="51" xfId="0" applyFont="1" applyFill="1" applyBorder="1" applyAlignment="1" applyProtection="1">
      <alignment horizontal="center"/>
    </xf>
    <xf numFmtId="1" fontId="5" fillId="20" borderId="25" xfId="0" applyNumberFormat="1" applyFont="1" applyFill="1" applyBorder="1" applyAlignment="1" applyProtection="1">
      <alignment horizontal="center"/>
    </xf>
    <xf numFmtId="0" fontId="5" fillId="20" borderId="25" xfId="0" applyFont="1" applyFill="1" applyBorder="1" applyProtection="1"/>
    <xf numFmtId="0" fontId="3" fillId="20" borderId="131" xfId="0" applyFont="1" applyFill="1" applyBorder="1" applyAlignment="1" applyProtection="1">
      <alignment horizontal="center"/>
    </xf>
    <xf numFmtId="0" fontId="3" fillId="20" borderId="25" xfId="0" applyFont="1" applyFill="1" applyBorder="1" applyAlignment="1" applyProtection="1">
      <alignment horizontal="center"/>
    </xf>
    <xf numFmtId="0" fontId="3" fillId="20" borderId="25" xfId="0" applyFont="1" applyFill="1" applyBorder="1" applyProtection="1"/>
    <xf numFmtId="0" fontId="5" fillId="20" borderId="2" xfId="0" applyFont="1" applyFill="1" applyBorder="1" applyProtection="1"/>
    <xf numFmtId="49" fontId="3" fillId="20" borderId="129" xfId="0" applyNumberFormat="1" applyFont="1" applyFill="1" applyBorder="1" applyAlignment="1" applyProtection="1">
      <alignment horizontal="center"/>
    </xf>
    <xf numFmtId="0" fontId="3" fillId="20" borderId="106" xfId="0" applyFont="1" applyFill="1" applyBorder="1" applyAlignment="1" applyProtection="1">
      <alignment horizontal="center"/>
    </xf>
    <xf numFmtId="1" fontId="3" fillId="20" borderId="42" xfId="0" applyNumberFormat="1" applyFont="1" applyFill="1" applyBorder="1" applyAlignment="1" applyProtection="1">
      <alignment horizontal="left"/>
    </xf>
    <xf numFmtId="0" fontId="3" fillId="20" borderId="132" xfId="0" applyFont="1" applyFill="1" applyBorder="1" applyAlignment="1" applyProtection="1">
      <alignment horizontal="center"/>
    </xf>
    <xf numFmtId="1" fontId="3" fillId="20" borderId="133" xfId="0" applyNumberFormat="1" applyFont="1" applyFill="1" applyBorder="1" applyAlignment="1" applyProtection="1">
      <alignment horizontal="left"/>
    </xf>
    <xf numFmtId="49" fontId="3" fillId="20" borderId="134" xfId="0" applyNumberFormat="1" applyFont="1" applyFill="1" applyBorder="1" applyAlignment="1" applyProtection="1">
      <alignment horizontal="center"/>
    </xf>
    <xf numFmtId="0" fontId="63" fillId="20" borderId="81" xfId="0" applyFont="1" applyFill="1" applyBorder="1" applyAlignment="1" applyProtection="1">
      <alignment horizontal="center"/>
    </xf>
    <xf numFmtId="49" fontId="3" fillId="20" borderId="21" xfId="0" applyNumberFormat="1" applyFont="1" applyFill="1" applyBorder="1" applyAlignment="1" applyProtection="1">
      <alignment horizontal="center"/>
    </xf>
    <xf numFmtId="49" fontId="16" fillId="20" borderId="8" xfId="0" applyNumberFormat="1" applyFont="1" applyFill="1" applyBorder="1" applyAlignment="1" applyProtection="1">
      <alignment horizontal="left"/>
    </xf>
    <xf numFmtId="49" fontId="3" fillId="20" borderId="22" xfId="0" applyNumberFormat="1" applyFont="1" applyFill="1" applyBorder="1" applyAlignment="1" applyProtection="1">
      <alignment horizontal="center"/>
    </xf>
    <xf numFmtId="49" fontId="3" fillId="20" borderId="130" xfId="0" applyNumberFormat="1" applyFont="1" applyFill="1" applyBorder="1" applyAlignment="1" applyProtection="1">
      <alignment horizontal="center"/>
    </xf>
    <xf numFmtId="49" fontId="3" fillId="20" borderId="24" xfId="0" applyNumberFormat="1" applyFont="1" applyFill="1" applyBorder="1" applyAlignment="1" applyProtection="1">
      <alignment horizontal="center"/>
    </xf>
    <xf numFmtId="49" fontId="63" fillId="20" borderId="66" xfId="0" applyNumberFormat="1" applyFont="1" applyFill="1" applyBorder="1" applyAlignment="1" applyProtection="1">
      <alignment horizontal="center"/>
    </xf>
    <xf numFmtId="49" fontId="8" fillId="20" borderId="135" xfId="0" applyNumberFormat="1" applyFont="1" applyFill="1" applyBorder="1" applyAlignment="1" applyProtection="1">
      <alignment horizontal="center"/>
    </xf>
    <xf numFmtId="0" fontId="14" fillId="20" borderId="136" xfId="0" applyFont="1" applyFill="1" applyBorder="1" applyAlignment="1" applyProtection="1">
      <alignment wrapText="1"/>
    </xf>
    <xf numFmtId="0" fontId="3" fillId="20" borderId="2" xfId="0" applyFont="1" applyFill="1" applyBorder="1" applyAlignment="1" applyProtection="1">
      <alignment wrapText="1"/>
    </xf>
    <xf numFmtId="49" fontId="3" fillId="20" borderId="131" xfId="0" applyNumberFormat="1" applyFont="1" applyFill="1" applyBorder="1" applyAlignment="1" applyProtection="1">
      <alignment horizontal="center"/>
    </xf>
    <xf numFmtId="0" fontId="5" fillId="20" borderId="42" xfId="0" applyFont="1" applyFill="1" applyBorder="1" applyProtection="1"/>
    <xf numFmtId="49" fontId="8" fillId="20" borderId="125" xfId="0" applyNumberFormat="1" applyFont="1" applyFill="1" applyBorder="1" applyAlignment="1" applyProtection="1">
      <alignment horizontal="center"/>
    </xf>
    <xf numFmtId="0" fontId="14" fillId="20" borderId="42" xfId="0" applyFont="1" applyFill="1" applyBorder="1" applyProtection="1"/>
    <xf numFmtId="0" fontId="5" fillId="20" borderId="2" xfId="0" applyFont="1" applyFill="1" applyBorder="1" applyAlignment="1" applyProtection="1">
      <alignment wrapText="1"/>
    </xf>
    <xf numFmtId="49" fontId="8" fillId="20" borderId="22" xfId="0" applyNumberFormat="1" applyFont="1" applyFill="1" applyBorder="1" applyAlignment="1" applyProtection="1">
      <alignment horizontal="center"/>
    </xf>
    <xf numFmtId="0" fontId="3" fillId="20" borderId="5" xfId="0" applyFont="1" applyFill="1" applyBorder="1" applyAlignment="1" applyProtection="1">
      <alignment wrapText="1"/>
    </xf>
    <xf numFmtId="0" fontId="5" fillId="20" borderId="120" xfId="0" applyFont="1" applyFill="1" applyBorder="1" applyAlignment="1" applyProtection="1">
      <alignment horizontal="right"/>
    </xf>
    <xf numFmtId="0" fontId="3" fillId="20" borderId="98" xfId="0" applyFont="1" applyFill="1" applyBorder="1" applyAlignment="1" applyProtection="1">
      <alignment horizontal="left"/>
    </xf>
    <xf numFmtId="0" fontId="5" fillId="20" borderId="118" xfId="0" applyFont="1" applyFill="1" applyBorder="1" applyAlignment="1" applyProtection="1">
      <alignment horizontal="right"/>
    </xf>
    <xf numFmtId="0" fontId="3" fillId="20" borderId="127" xfId="0" applyFont="1" applyFill="1" applyBorder="1" applyAlignment="1" applyProtection="1">
      <alignment horizontal="left"/>
    </xf>
    <xf numFmtId="0" fontId="5" fillId="20" borderId="15" xfId="0" applyFont="1" applyFill="1" applyBorder="1" applyAlignment="1" applyProtection="1">
      <alignment horizontal="right"/>
    </xf>
    <xf numFmtId="0" fontId="5" fillId="20" borderId="2" xfId="0" applyFont="1" applyFill="1" applyBorder="1" applyAlignment="1" applyProtection="1">
      <alignment horizontal="left"/>
    </xf>
    <xf numFmtId="0" fontId="3" fillId="20" borderId="2" xfId="0" applyFont="1" applyFill="1" applyBorder="1" applyAlignment="1" applyProtection="1">
      <alignment horizontal="left"/>
    </xf>
    <xf numFmtId="0" fontId="5" fillId="20" borderId="13" xfId="0" applyFont="1" applyFill="1" applyBorder="1" applyAlignment="1" applyProtection="1">
      <alignment horizontal="left"/>
    </xf>
    <xf numFmtId="49" fontId="3" fillId="20" borderId="23" xfId="0" applyNumberFormat="1" applyFont="1" applyFill="1" applyBorder="1" applyAlignment="1" applyProtection="1">
      <alignment horizontal="center"/>
    </xf>
    <xf numFmtId="0" fontId="3" fillId="20" borderId="9" xfId="0" applyFont="1" applyFill="1" applyBorder="1" applyAlignment="1" applyProtection="1">
      <alignment horizontal="left"/>
    </xf>
    <xf numFmtId="0" fontId="3" fillId="20" borderId="5" xfId="0" applyFont="1" applyFill="1" applyBorder="1" applyAlignment="1" applyProtection="1">
      <alignment horizontal="left"/>
    </xf>
    <xf numFmtId="0" fontId="5" fillId="20" borderId="15" xfId="0" applyFont="1" applyFill="1" applyBorder="1" applyAlignment="1" applyProtection="1">
      <alignment horizontal="left"/>
    </xf>
    <xf numFmtId="0" fontId="5" fillId="20" borderId="118" xfId="0" applyFont="1" applyFill="1" applyBorder="1" applyAlignment="1" applyProtection="1">
      <alignment horizontal="left"/>
    </xf>
    <xf numFmtId="0" fontId="5" fillId="20" borderId="121" xfId="0" applyFont="1" applyFill="1" applyBorder="1" applyAlignment="1" applyProtection="1">
      <alignment horizontal="left"/>
    </xf>
    <xf numFmtId="0" fontId="3" fillId="20" borderId="15" xfId="0" applyFont="1" applyFill="1" applyBorder="1" applyAlignment="1" applyProtection="1">
      <alignment horizontal="left"/>
    </xf>
    <xf numFmtId="0" fontId="3" fillId="20" borderId="57" xfId="0" applyFont="1" applyFill="1" applyBorder="1" applyAlignment="1" applyProtection="1">
      <alignment horizontal="left"/>
    </xf>
    <xf numFmtId="0" fontId="5" fillId="20" borderId="57" xfId="0" applyFont="1" applyFill="1" applyBorder="1" applyAlignment="1" applyProtection="1">
      <alignment horizontal="right"/>
    </xf>
    <xf numFmtId="0" fontId="3" fillId="20" borderId="54" xfId="0" applyFont="1" applyFill="1" applyBorder="1" applyAlignment="1" applyProtection="1">
      <alignment horizontal="left"/>
    </xf>
    <xf numFmtId="0" fontId="5" fillId="20" borderId="127" xfId="0" applyFont="1" applyFill="1" applyBorder="1" applyAlignment="1" applyProtection="1">
      <alignment horizontal="left" vertical="top"/>
    </xf>
    <xf numFmtId="0" fontId="5" fillId="20" borderId="57" xfId="0" applyFont="1" applyFill="1" applyBorder="1" applyAlignment="1" applyProtection="1">
      <alignment horizontal="left" vertical="top"/>
    </xf>
    <xf numFmtId="0" fontId="5" fillId="20" borderId="21" xfId="0" applyFont="1" applyFill="1" applyBorder="1" applyAlignment="1" applyProtection="1">
      <alignment horizontal="right"/>
    </xf>
    <xf numFmtId="0" fontId="5" fillId="20" borderId="53" xfId="0" applyFont="1" applyFill="1" applyBorder="1" applyAlignment="1" applyProtection="1">
      <alignment horizontal="right"/>
    </xf>
    <xf numFmtId="3" fontId="43" fillId="21" borderId="22" xfId="0" applyNumberFormat="1" applyFont="1" applyFill="1" applyBorder="1" applyProtection="1"/>
    <xf numFmtId="3" fontId="43" fillId="21" borderId="19" xfId="0" applyNumberFormat="1" applyFont="1" applyFill="1" applyBorder="1" applyProtection="1"/>
    <xf numFmtId="3" fontId="43" fillId="21" borderId="22" xfId="0" applyNumberFormat="1" applyFont="1" applyFill="1" applyBorder="1" applyAlignment="1" applyProtection="1">
      <alignment horizontal="right"/>
    </xf>
    <xf numFmtId="3" fontId="43" fillId="21" borderId="24" xfId="0" applyNumberFormat="1" applyFont="1" applyFill="1" applyBorder="1" applyProtection="1"/>
    <xf numFmtId="3" fontId="43" fillId="21" borderId="23" xfId="0" applyNumberFormat="1" applyFont="1" applyFill="1" applyBorder="1" applyProtection="1"/>
    <xf numFmtId="3" fontId="43" fillId="21" borderId="41" xfId="0" applyNumberFormat="1" applyFont="1" applyFill="1" applyBorder="1" applyProtection="1"/>
    <xf numFmtId="3" fontId="43" fillId="21" borderId="53" xfId="0" applyNumberFormat="1" applyFont="1" applyFill="1" applyBorder="1" applyProtection="1"/>
    <xf numFmtId="3" fontId="43" fillId="21" borderId="52" xfId="0" applyNumberFormat="1" applyFont="1" applyFill="1" applyBorder="1" applyProtection="1"/>
    <xf numFmtId="3" fontId="43" fillId="22" borderId="22" xfId="0" applyNumberFormat="1" applyFont="1" applyFill="1" applyBorder="1" applyProtection="1"/>
    <xf numFmtId="3" fontId="43" fillId="22" borderId="52" xfId="0" applyNumberFormat="1" applyFont="1" applyFill="1" applyBorder="1" applyProtection="1"/>
    <xf numFmtId="3" fontId="43" fillId="21" borderId="80" xfId="0" applyNumberFormat="1" applyFont="1" applyFill="1" applyBorder="1" applyProtection="1"/>
    <xf numFmtId="0" fontId="5" fillId="20" borderId="137" xfId="0" applyFont="1" applyFill="1" applyBorder="1" applyAlignment="1" applyProtection="1">
      <alignment horizontal="center" vertical="center" wrapText="1"/>
    </xf>
    <xf numFmtId="3" fontId="43" fillId="21" borderId="138" xfId="0" applyNumberFormat="1" applyFont="1" applyFill="1" applyBorder="1" applyProtection="1"/>
    <xf numFmtId="3" fontId="43" fillId="22" borderId="139" xfId="0" applyNumberFormat="1" applyFont="1" applyFill="1" applyBorder="1" applyProtection="1"/>
    <xf numFmtId="3" fontId="43" fillId="22" borderId="140" xfId="0" applyNumberFormat="1" applyFont="1" applyFill="1" applyBorder="1" applyProtection="1"/>
    <xf numFmtId="3" fontId="43" fillId="22" borderId="122" xfId="0" applyNumberFormat="1" applyFont="1" applyFill="1" applyBorder="1" applyProtection="1"/>
    <xf numFmtId="3" fontId="43" fillId="21" borderId="141" xfId="0" applyNumberFormat="1" applyFont="1" applyFill="1" applyBorder="1" applyProtection="1"/>
    <xf numFmtId="0" fontId="5" fillId="20" borderId="36" xfId="0" applyFont="1" applyFill="1" applyBorder="1" applyProtection="1"/>
    <xf numFmtId="166" fontId="4" fillId="20" borderId="121" xfId="0" applyNumberFormat="1" applyFont="1" applyFill="1" applyBorder="1" applyProtection="1"/>
    <xf numFmtId="0" fontId="5" fillId="20" borderId="142" xfId="0" applyFont="1" applyFill="1" applyBorder="1" applyProtection="1"/>
    <xf numFmtId="166" fontId="6" fillId="20" borderId="143" xfId="0" applyNumberFormat="1" applyFont="1" applyFill="1" applyBorder="1" applyProtection="1"/>
    <xf numFmtId="0" fontId="5" fillId="20" borderId="21" xfId="0" applyFont="1" applyFill="1" applyBorder="1" applyAlignment="1" applyProtection="1">
      <alignment horizontal="left" vertical="top"/>
    </xf>
    <xf numFmtId="0" fontId="5" fillId="20" borderId="53" xfId="0" applyFont="1" applyFill="1" applyBorder="1" applyAlignment="1" applyProtection="1">
      <alignment horizontal="left" vertical="top"/>
    </xf>
    <xf numFmtId="3" fontId="43" fillId="21" borderId="19" xfId="0" applyNumberFormat="1" applyFont="1" applyFill="1" applyBorder="1" applyAlignment="1" applyProtection="1">
      <alignment horizontal="right"/>
    </xf>
    <xf numFmtId="0" fontId="3" fillId="20" borderId="131" xfId="0" applyFont="1" applyFill="1" applyBorder="1" applyProtection="1"/>
    <xf numFmtId="166" fontId="6" fillId="20" borderId="53" xfId="0" applyNumberFormat="1" applyFont="1" applyFill="1" applyBorder="1" applyProtection="1"/>
    <xf numFmtId="0" fontId="3" fillId="20" borderId="50" xfId="0" applyFont="1" applyFill="1" applyBorder="1" applyProtection="1"/>
    <xf numFmtId="166" fontId="6" fillId="20" borderId="52" xfId="0" applyNumberFormat="1" applyFont="1" applyFill="1" applyBorder="1" applyProtection="1"/>
    <xf numFmtId="3" fontId="43" fillId="22" borderId="69" xfId="0" applyNumberFormat="1" applyFont="1" applyFill="1" applyBorder="1" applyProtection="1"/>
    <xf numFmtId="3" fontId="43" fillId="22" borderId="60" xfId="0" applyNumberFormat="1" applyFont="1" applyFill="1" applyBorder="1" applyProtection="1"/>
    <xf numFmtId="0" fontId="3" fillId="20" borderId="144" xfId="0" applyFont="1" applyFill="1" applyBorder="1" applyProtection="1"/>
    <xf numFmtId="3" fontId="43" fillId="21" borderId="24" xfId="0" applyNumberFormat="1" applyFont="1" applyFill="1" applyBorder="1" applyAlignment="1" applyProtection="1">
      <alignment horizontal="right"/>
    </xf>
    <xf numFmtId="3" fontId="43" fillId="22" borderId="85" xfId="0" applyNumberFormat="1" applyFont="1" applyFill="1" applyBorder="1" applyProtection="1"/>
    <xf numFmtId="49" fontId="3" fillId="20" borderId="36" xfId="0" applyNumberFormat="1" applyFont="1" applyFill="1" applyBorder="1" applyAlignment="1" applyProtection="1">
      <alignment horizontal="left"/>
    </xf>
    <xf numFmtId="0" fontId="5" fillId="20" borderId="118" xfId="0" applyFont="1" applyFill="1" applyBorder="1" applyAlignment="1" applyProtection="1"/>
    <xf numFmtId="49" fontId="3" fillId="20" borderId="58" xfId="0" applyNumberFormat="1" applyFont="1" applyFill="1" applyBorder="1" applyAlignment="1" applyProtection="1">
      <alignment horizontal="left"/>
    </xf>
    <xf numFmtId="0" fontId="25" fillId="20" borderId="15" xfId="0" applyFont="1" applyFill="1" applyBorder="1" applyProtection="1"/>
    <xf numFmtId="49" fontId="3" fillId="20" borderId="142" xfId="0" applyNumberFormat="1" applyFont="1" applyFill="1" applyBorder="1" applyAlignment="1" applyProtection="1">
      <alignment horizontal="left"/>
    </xf>
    <xf numFmtId="0" fontId="25" fillId="20" borderId="42" xfId="0" applyFont="1" applyFill="1" applyBorder="1" applyProtection="1"/>
    <xf numFmtId="49" fontId="3" fillId="20" borderId="127" xfId="0" applyNumberFormat="1" applyFont="1" applyFill="1" applyBorder="1" applyProtection="1"/>
    <xf numFmtId="165" fontId="3" fillId="20" borderId="15" xfId="0" applyNumberFormat="1" applyFont="1" applyFill="1" applyBorder="1" applyProtection="1"/>
    <xf numFmtId="0" fontId="24" fillId="20" borderId="145" xfId="0" applyFont="1" applyFill="1" applyBorder="1" applyProtection="1"/>
    <xf numFmtId="0" fontId="24" fillId="20" borderId="15" xfId="0" applyFont="1" applyFill="1" applyBorder="1" applyProtection="1"/>
    <xf numFmtId="0" fontId="5" fillId="20" borderId="2" xfId="0" applyNumberFormat="1" applyFont="1" applyFill="1" applyBorder="1" applyAlignment="1" applyProtection="1">
      <alignment horizontal="center"/>
    </xf>
    <xf numFmtId="0" fontId="14" fillId="20" borderId="2" xfId="0" applyFont="1" applyFill="1" applyBorder="1" applyProtection="1"/>
    <xf numFmtId="49" fontId="3" fillId="20" borderId="2" xfId="0" applyNumberFormat="1" applyFont="1" applyFill="1" applyBorder="1" applyAlignment="1" applyProtection="1">
      <alignment horizontal="center"/>
    </xf>
    <xf numFmtId="0" fontId="14" fillId="20" borderId="15" xfId="0" applyFont="1" applyFill="1" applyBorder="1" applyProtection="1"/>
    <xf numFmtId="0" fontId="3" fillId="20" borderId="5" xfId="0" applyFont="1" applyFill="1" applyBorder="1" applyAlignment="1" applyProtection="1">
      <alignment horizontal="center"/>
    </xf>
    <xf numFmtId="49" fontId="8" fillId="20" borderId="2" xfId="0" applyNumberFormat="1" applyFont="1" applyFill="1" applyBorder="1" applyAlignment="1" applyProtection="1">
      <alignment horizontal="center"/>
    </xf>
    <xf numFmtId="0" fontId="24" fillId="20" borderId="118" xfId="0" applyFont="1" applyFill="1" applyBorder="1" applyProtection="1"/>
    <xf numFmtId="49" fontId="5" fillId="20" borderId="13" xfId="0" applyNumberFormat="1" applyFont="1" applyFill="1" applyBorder="1" applyAlignment="1" applyProtection="1">
      <alignment horizontal="center"/>
    </xf>
    <xf numFmtId="49" fontId="5" fillId="20" borderId="84" xfId="0" applyNumberFormat="1" applyFont="1" applyFill="1" applyBorder="1" applyAlignment="1" applyProtection="1">
      <alignment horizontal="center"/>
    </xf>
    <xf numFmtId="0" fontId="14" fillId="20" borderId="84" xfId="0" applyFont="1" applyFill="1" applyBorder="1" applyProtection="1"/>
    <xf numFmtId="3" fontId="5" fillId="20" borderId="95" xfId="0" applyNumberFormat="1" applyFont="1" applyFill="1" applyBorder="1" applyProtection="1"/>
    <xf numFmtId="3" fontId="5" fillId="20" borderId="88" xfId="0" applyNumberFormat="1" applyFont="1" applyFill="1" applyBorder="1" applyProtection="1"/>
    <xf numFmtId="166" fontId="26" fillId="20" borderId="56" xfId="0" applyNumberFormat="1" applyFont="1" applyFill="1" applyBorder="1" applyAlignment="1" applyProtection="1">
      <alignment horizontal="center"/>
    </xf>
    <xf numFmtId="166" fontId="26" fillId="20" borderId="60" xfId="0" applyNumberFormat="1" applyFont="1" applyFill="1" applyBorder="1" applyAlignment="1" applyProtection="1">
      <alignment horizontal="center"/>
    </xf>
    <xf numFmtId="166" fontId="27" fillId="20" borderId="147" xfId="0" applyNumberFormat="1" applyFont="1" applyFill="1" applyBorder="1" applyProtection="1"/>
    <xf numFmtId="166" fontId="27" fillId="20" borderId="90" xfId="0" applyNumberFormat="1" applyFont="1" applyFill="1" applyBorder="1" applyProtection="1"/>
    <xf numFmtId="166" fontId="6" fillId="20" borderId="148" xfId="0" applyNumberFormat="1" applyFont="1" applyFill="1" applyBorder="1" applyProtection="1"/>
    <xf numFmtId="166" fontId="6" fillId="20" borderId="149" xfId="0" applyNumberFormat="1" applyFont="1" applyFill="1" applyBorder="1" applyProtection="1"/>
    <xf numFmtId="166" fontId="6" fillId="20" borderId="54" xfId="0" applyNumberFormat="1" applyFont="1" applyFill="1" applyBorder="1" applyProtection="1"/>
    <xf numFmtId="166" fontId="6" fillId="20" borderId="18" xfId="0" applyNumberFormat="1" applyFont="1" applyFill="1" applyBorder="1" applyProtection="1"/>
    <xf numFmtId="0" fontId="7" fillId="20" borderId="19" xfId="0" applyFont="1" applyFill="1" applyBorder="1" applyProtection="1"/>
    <xf numFmtId="0" fontId="5" fillId="20" borderId="58" xfId="0" applyFont="1" applyFill="1" applyBorder="1" applyAlignment="1" applyProtection="1">
      <alignment horizontal="center"/>
    </xf>
    <xf numFmtId="0" fontId="5" fillId="20" borderId="57" xfId="0" applyFont="1" applyFill="1" applyBorder="1" applyAlignment="1" applyProtection="1"/>
    <xf numFmtId="0" fontId="5" fillId="20" borderId="142" xfId="0" applyFont="1" applyFill="1" applyBorder="1" applyAlignment="1" applyProtection="1">
      <alignment horizontal="right"/>
    </xf>
    <xf numFmtId="0" fontId="5" fillId="20" borderId="143" xfId="0" applyFont="1" applyFill="1" applyBorder="1" applyAlignment="1" applyProtection="1">
      <alignment horizontal="right"/>
    </xf>
    <xf numFmtId="3" fontId="2" fillId="22" borderId="58" xfId="0" applyNumberFormat="1" applyFont="1" applyFill="1" applyBorder="1" applyAlignment="1" applyProtection="1">
      <alignment horizontal="right"/>
    </xf>
    <xf numFmtId="3" fontId="2" fillId="22" borderId="57" xfId="0" applyNumberFormat="1" applyFont="1" applyFill="1" applyBorder="1" applyAlignment="1" applyProtection="1">
      <alignment horizontal="right"/>
    </xf>
    <xf numFmtId="3" fontId="2" fillId="22" borderId="58" xfId="0" applyNumberFormat="1" applyFont="1" applyFill="1" applyBorder="1" applyProtection="1"/>
    <xf numFmtId="3" fontId="2" fillId="22" borderId="57" xfId="0" applyNumberFormat="1" applyFont="1" applyFill="1" applyBorder="1" applyProtection="1"/>
    <xf numFmtId="3" fontId="2" fillId="21" borderId="58" xfId="0" applyNumberFormat="1" applyFont="1" applyFill="1" applyBorder="1" applyProtection="1"/>
    <xf numFmtId="3" fontId="2" fillId="21" borderId="57" xfId="0" applyNumberFormat="1" applyFont="1" applyFill="1" applyBorder="1" applyProtection="1"/>
    <xf numFmtId="3" fontId="43" fillId="22" borderId="58" xfId="0" applyNumberFormat="1" applyFont="1" applyFill="1" applyBorder="1" applyProtection="1"/>
    <xf numFmtId="3" fontId="43" fillId="22" borderId="57" xfId="0" applyNumberFormat="1" applyFont="1" applyFill="1" applyBorder="1" applyProtection="1"/>
    <xf numFmtId="3" fontId="43" fillId="21" borderId="58" xfId="0" applyNumberFormat="1" applyFont="1" applyFill="1" applyBorder="1" applyProtection="1"/>
    <xf numFmtId="3" fontId="43" fillId="21" borderId="57" xfId="0" applyNumberFormat="1" applyFont="1" applyFill="1" applyBorder="1" applyProtection="1"/>
    <xf numFmtId="0" fontId="97" fillId="20" borderId="58" xfId="0" applyFont="1" applyFill="1" applyBorder="1" applyProtection="1"/>
    <xf numFmtId="0" fontId="97" fillId="20" borderId="57" xfId="0" applyFont="1" applyFill="1" applyBorder="1" applyProtection="1"/>
    <xf numFmtId="49" fontId="8" fillId="20" borderId="132" xfId="0" applyNumberFormat="1" applyFont="1" applyFill="1" applyBorder="1" applyAlignment="1" applyProtection="1">
      <alignment horizontal="center"/>
    </xf>
    <xf numFmtId="49" fontId="8" fillId="20" borderId="133" xfId="0" applyNumberFormat="1" applyFont="1" applyFill="1" applyBorder="1" applyAlignment="1" applyProtection="1">
      <alignment horizontal="center"/>
    </xf>
    <xf numFmtId="49" fontId="8" fillId="20" borderId="133" xfId="0" applyNumberFormat="1" applyFont="1" applyFill="1" applyBorder="1" applyAlignment="1" applyProtection="1">
      <alignment horizontal="left"/>
    </xf>
    <xf numFmtId="49" fontId="8" fillId="20" borderId="34" xfId="0" applyNumberFormat="1" applyFont="1" applyFill="1" applyBorder="1" applyAlignment="1" applyProtection="1">
      <alignment horizontal="center"/>
    </xf>
    <xf numFmtId="49" fontId="8" fillId="20" borderId="35" xfId="0" applyNumberFormat="1" applyFont="1" applyFill="1" applyBorder="1" applyAlignment="1" applyProtection="1">
      <alignment horizontal="center"/>
    </xf>
    <xf numFmtId="49" fontId="8" fillId="20" borderId="35" xfId="0" applyNumberFormat="1" applyFont="1" applyFill="1" applyBorder="1" applyAlignment="1" applyProtection="1">
      <alignment horizontal="left"/>
    </xf>
    <xf numFmtId="49" fontId="8" fillId="20" borderId="7" xfId="0" applyNumberFormat="1" applyFont="1" applyFill="1" applyBorder="1" applyAlignment="1" applyProtection="1">
      <alignment horizontal="center"/>
    </xf>
    <xf numFmtId="49" fontId="8" fillId="20" borderId="5" xfId="0" applyNumberFormat="1" applyFont="1" applyFill="1" applyBorder="1" applyAlignment="1" applyProtection="1">
      <alignment horizontal="center"/>
    </xf>
    <xf numFmtId="49" fontId="8" fillId="20" borderId="150" xfId="0" applyNumberFormat="1" applyFont="1" applyFill="1" applyBorder="1" applyAlignment="1" applyProtection="1">
      <alignment horizontal="center"/>
    </xf>
    <xf numFmtId="49" fontId="8" fillId="20" borderId="42" xfId="0" applyNumberFormat="1" applyFont="1" applyFill="1" applyBorder="1" applyAlignment="1" applyProtection="1">
      <alignment horizontal="left"/>
    </xf>
    <xf numFmtId="166" fontId="6" fillId="20" borderId="9" xfId="0" applyNumberFormat="1" applyFont="1" applyFill="1" applyBorder="1" applyProtection="1"/>
    <xf numFmtId="3" fontId="9" fillId="23" borderId="20" xfId="0" applyNumberFormat="1" applyFont="1" applyFill="1" applyBorder="1" applyProtection="1"/>
    <xf numFmtId="0" fontId="5" fillId="20" borderId="124" xfId="0" applyFont="1" applyFill="1" applyBorder="1" applyAlignment="1" applyProtection="1">
      <alignment horizontal="left"/>
    </xf>
    <xf numFmtId="1" fontId="5" fillId="20" borderId="42" xfId="0" applyNumberFormat="1" applyFont="1" applyFill="1" applyBorder="1" applyAlignment="1" applyProtection="1">
      <alignment horizontal="left"/>
    </xf>
    <xf numFmtId="0" fontId="5" fillId="20" borderId="1" xfId="0" applyFont="1" applyFill="1" applyBorder="1" applyProtection="1"/>
    <xf numFmtId="3" fontId="15" fillId="20" borderId="147" xfId="0" applyNumberFormat="1" applyFont="1" applyFill="1" applyBorder="1" applyProtection="1"/>
    <xf numFmtId="3" fontId="15" fillId="20" borderId="90" xfId="0" applyNumberFormat="1" applyFont="1" applyFill="1" applyBorder="1" applyProtection="1"/>
    <xf numFmtId="3" fontId="2" fillId="20" borderId="18" xfId="0" applyNumberFormat="1" applyFont="1" applyFill="1" applyBorder="1" applyProtection="1"/>
    <xf numFmtId="49" fontId="3" fillId="20" borderId="5" xfId="0" applyNumberFormat="1" applyFont="1" applyFill="1" applyBorder="1" applyAlignment="1" applyProtection="1">
      <alignment horizontal="center"/>
    </xf>
    <xf numFmtId="166" fontId="3" fillId="20" borderId="2" xfId="0" applyNumberFormat="1" applyFont="1" applyFill="1" applyBorder="1" applyAlignment="1" applyProtection="1">
      <alignment horizontal="left"/>
    </xf>
    <xf numFmtId="49" fontId="5" fillId="20" borderId="25" xfId="0" applyNumberFormat="1" applyFont="1" applyFill="1" applyBorder="1" applyAlignment="1" applyProtection="1">
      <alignment horizontal="center"/>
    </xf>
    <xf numFmtId="0" fontId="3" fillId="20" borderId="2" xfId="0" applyFont="1" applyFill="1" applyBorder="1" applyAlignment="1" applyProtection="1">
      <alignment horizontal="center"/>
    </xf>
    <xf numFmtId="49" fontId="5" fillId="20" borderId="5" xfId="0" applyNumberFormat="1" applyFont="1" applyFill="1" applyBorder="1" applyAlignment="1" applyProtection="1">
      <alignment horizontal="center"/>
    </xf>
    <xf numFmtId="0" fontId="5" fillId="20" borderId="5" xfId="0" applyFont="1" applyFill="1" applyBorder="1" applyProtection="1"/>
    <xf numFmtId="3" fontId="8" fillId="20" borderId="146" xfId="0" applyNumberFormat="1" applyFont="1" applyFill="1" applyBorder="1" applyAlignment="1" applyProtection="1">
      <alignment horizontal="center"/>
    </xf>
    <xf numFmtId="3" fontId="5" fillId="20" borderId="151" xfId="0" applyNumberFormat="1" applyFont="1" applyFill="1" applyBorder="1" applyAlignment="1" applyProtection="1">
      <alignment horizontal="center"/>
    </xf>
    <xf numFmtId="3" fontId="5" fillId="20" borderId="151" xfId="0" applyNumberFormat="1" applyFont="1" applyFill="1" applyBorder="1" applyProtection="1"/>
    <xf numFmtId="3" fontId="2" fillId="21" borderId="18" xfId="0" applyNumberFormat="1" applyFont="1" applyFill="1" applyBorder="1" applyProtection="1"/>
    <xf numFmtId="3" fontId="2" fillId="21" borderId="60" xfId="0" applyNumberFormat="1" applyFont="1" applyFill="1" applyBorder="1" applyProtection="1"/>
    <xf numFmtId="3" fontId="2" fillId="21" borderId="19" xfId="0" applyNumberFormat="1" applyFont="1" applyFill="1" applyBorder="1" applyProtection="1"/>
    <xf numFmtId="3" fontId="5" fillId="20" borderId="142" xfId="0" applyNumberFormat="1" applyFont="1" applyFill="1" applyBorder="1" applyProtection="1"/>
    <xf numFmtId="3" fontId="5" fillId="20" borderId="143" xfId="0" applyNumberFormat="1" applyFont="1" applyFill="1" applyBorder="1" applyProtection="1"/>
    <xf numFmtId="3" fontId="2" fillId="20" borderId="58" xfId="0" applyNumberFormat="1" applyFont="1" applyFill="1" applyBorder="1" applyProtection="1"/>
    <xf numFmtId="3" fontId="2" fillId="20" borderId="57" xfId="0" applyNumberFormat="1" applyFont="1" applyFill="1" applyBorder="1" applyProtection="1"/>
    <xf numFmtId="3" fontId="43" fillId="21" borderId="50" xfId="0" applyNumberFormat="1" applyFont="1" applyFill="1" applyBorder="1" applyProtection="1"/>
    <xf numFmtId="3" fontId="43" fillId="20" borderId="58" xfId="0" applyNumberFormat="1" applyFont="1" applyFill="1" applyBorder="1" applyProtection="1"/>
    <xf numFmtId="3" fontId="43" fillId="20" borderId="57" xfId="0" applyNumberFormat="1" applyFont="1" applyFill="1" applyBorder="1" applyProtection="1"/>
    <xf numFmtId="3" fontId="43" fillId="20" borderId="60" xfId="0" applyNumberFormat="1" applyFont="1" applyFill="1" applyBorder="1" applyProtection="1"/>
    <xf numFmtId="3" fontId="43" fillId="20" borderId="131" xfId="0" applyNumberFormat="1" applyFont="1" applyFill="1" applyBorder="1" applyProtection="1"/>
    <xf numFmtId="3" fontId="43" fillId="21" borderId="51" xfId="0" applyNumberFormat="1" applyFont="1" applyFill="1" applyBorder="1" applyProtection="1"/>
    <xf numFmtId="3" fontId="43" fillId="21" borderId="26" xfId="0" applyNumberFormat="1" applyFont="1" applyFill="1" applyBorder="1" applyProtection="1"/>
    <xf numFmtId="3" fontId="2" fillId="21" borderId="88" xfId="0" applyNumberFormat="1" applyFont="1" applyFill="1" applyBorder="1" applyProtection="1"/>
    <xf numFmtId="0" fontId="3" fillId="20" borderId="73" xfId="0" applyFont="1" applyFill="1" applyBorder="1" applyProtection="1"/>
    <xf numFmtId="0" fontId="0" fillId="20" borderId="74" xfId="0" applyFill="1" applyBorder="1" applyProtection="1"/>
    <xf numFmtId="0" fontId="0" fillId="20" borderId="64" xfId="0" applyFill="1" applyBorder="1" applyProtection="1"/>
    <xf numFmtId="0" fontId="3" fillId="20" borderId="75" xfId="0" applyFont="1" applyFill="1" applyBorder="1" applyProtection="1"/>
    <xf numFmtId="0" fontId="0" fillId="20" borderId="76" xfId="0" applyFill="1" applyBorder="1" applyProtection="1"/>
    <xf numFmtId="0" fontId="0" fillId="20" borderId="92" xfId="0" applyFill="1" applyBorder="1" applyProtection="1"/>
    <xf numFmtId="0" fontId="3" fillId="20" borderId="75" xfId="0" applyFont="1" applyFill="1" applyBorder="1" applyAlignment="1" applyProtection="1">
      <alignment horizontal="left"/>
    </xf>
    <xf numFmtId="0" fontId="0" fillId="20" borderId="76" xfId="0" applyFill="1" applyBorder="1" applyAlignment="1" applyProtection="1">
      <alignment horizontal="left"/>
    </xf>
    <xf numFmtId="3" fontId="5" fillId="20" borderId="137" xfId="0" applyNumberFormat="1" applyFont="1" applyFill="1" applyBorder="1" applyAlignment="1" applyProtection="1">
      <alignment horizontal="center" vertical="center" wrapText="1"/>
    </xf>
    <xf numFmtId="3" fontId="15" fillId="20" borderId="152" xfId="0" applyNumberFormat="1" applyFont="1" applyFill="1" applyBorder="1" applyAlignment="1" applyProtection="1">
      <alignment horizontal="center" vertical="center" wrapText="1"/>
    </xf>
    <xf numFmtId="3" fontId="5" fillId="20" borderId="152" xfId="0" applyNumberFormat="1" applyFont="1" applyFill="1" applyBorder="1" applyAlignment="1" applyProtection="1">
      <alignment horizontal="center" vertical="center" wrapText="1"/>
    </xf>
    <xf numFmtId="9" fontId="43" fillId="20" borderId="140" xfId="0" applyNumberFormat="1" applyFont="1" applyFill="1" applyBorder="1" applyProtection="1"/>
    <xf numFmtId="3" fontId="43" fillId="21" borderId="140" xfId="0" applyNumberFormat="1" applyFont="1" applyFill="1" applyBorder="1" applyProtection="1"/>
    <xf numFmtId="9" fontId="43" fillId="20" borderId="138" xfId="0" applyNumberFormat="1" applyFont="1" applyFill="1" applyBorder="1" applyProtection="1"/>
    <xf numFmtId="9" fontId="43" fillId="20" borderId="153" xfId="0" applyNumberFormat="1" applyFont="1" applyFill="1" applyBorder="1" applyProtection="1"/>
    <xf numFmtId="49" fontId="3" fillId="20" borderId="35" xfId="0" applyNumberFormat="1" applyFont="1" applyFill="1" applyBorder="1" applyAlignment="1" applyProtection="1">
      <alignment horizontal="left"/>
    </xf>
    <xf numFmtId="3" fontId="2" fillId="20" borderId="35" xfId="0" applyNumberFormat="1" applyFont="1" applyFill="1" applyBorder="1" applyProtection="1"/>
    <xf numFmtId="49" fontId="3" fillId="20" borderId="2" xfId="0" applyNumberFormat="1" applyFont="1" applyFill="1" applyBorder="1" applyAlignment="1" applyProtection="1">
      <alignment horizontal="left"/>
    </xf>
    <xf numFmtId="3" fontId="2" fillId="20" borderId="5" xfId="0" applyNumberFormat="1" applyFont="1" applyFill="1" applyBorder="1" applyProtection="1"/>
    <xf numFmtId="49" fontId="5" fillId="20" borderId="25" xfId="0" applyNumberFormat="1" applyFont="1" applyFill="1" applyBorder="1" applyAlignment="1" applyProtection="1">
      <alignment horizontal="left"/>
    </xf>
    <xf numFmtId="0" fontId="8" fillId="20" borderId="25" xfId="0" applyFont="1" applyFill="1" applyBorder="1" applyProtection="1"/>
    <xf numFmtId="3" fontId="2" fillId="20" borderId="25" xfId="0" applyNumberFormat="1" applyFont="1" applyFill="1" applyBorder="1" applyProtection="1"/>
    <xf numFmtId="49" fontId="3" fillId="20" borderId="95" xfId="0" applyNumberFormat="1" applyFont="1" applyFill="1" applyBorder="1" applyAlignment="1" applyProtection="1">
      <alignment horizontal="left"/>
    </xf>
    <xf numFmtId="49" fontId="3" fillId="20" borderId="120" xfId="0" applyNumberFormat="1" applyFont="1" applyFill="1" applyBorder="1" applyAlignment="1" applyProtection="1">
      <alignment horizontal="left"/>
    </xf>
    <xf numFmtId="0" fontId="3" fillId="20" borderId="127" xfId="0" applyFont="1" applyFill="1" applyBorder="1" applyAlignment="1" applyProtection="1">
      <alignment horizontal="left" vertical="top"/>
    </xf>
    <xf numFmtId="0" fontId="3" fillId="20" borderId="15" xfId="0" applyFont="1" applyFill="1" applyBorder="1" applyAlignment="1" applyProtection="1">
      <alignment horizontal="right"/>
    </xf>
    <xf numFmtId="0" fontId="5" fillId="20" borderId="154" xfId="0" applyFont="1" applyFill="1" applyBorder="1" applyAlignment="1" applyProtection="1">
      <alignment horizontal="right"/>
    </xf>
    <xf numFmtId="0" fontId="5" fillId="20" borderId="116" xfId="0" applyFont="1" applyFill="1" applyBorder="1" applyAlignment="1" applyProtection="1">
      <alignment horizontal="left"/>
    </xf>
    <xf numFmtId="0" fontId="5" fillId="20" borderId="89" xfId="0" applyFont="1" applyFill="1" applyBorder="1" applyAlignment="1" applyProtection="1">
      <alignment horizontal="right"/>
    </xf>
    <xf numFmtId="0" fontId="3" fillId="20" borderId="13" xfId="0" applyFont="1" applyFill="1" applyBorder="1" applyAlignment="1" applyProtection="1">
      <alignment horizontal="center"/>
    </xf>
    <xf numFmtId="0" fontId="8" fillId="20" borderId="21" xfId="0" applyFont="1" applyFill="1" applyBorder="1" applyAlignment="1" applyProtection="1">
      <alignment horizontal="center"/>
    </xf>
    <xf numFmtId="0" fontId="8" fillId="20" borderId="9" xfId="0" applyFont="1" applyFill="1" applyBorder="1" applyAlignment="1" applyProtection="1">
      <alignment horizontal="center"/>
    </xf>
    <xf numFmtId="0" fontId="8" fillId="20" borderId="82" xfId="0" applyFont="1" applyFill="1" applyBorder="1" applyAlignment="1" applyProtection="1">
      <alignment horizontal="left"/>
    </xf>
    <xf numFmtId="0" fontId="8" fillId="20" borderId="22" xfId="0" applyFont="1" applyFill="1" applyBorder="1" applyAlignment="1" applyProtection="1">
      <alignment horizontal="center"/>
    </xf>
    <xf numFmtId="0" fontId="8" fillId="20" borderId="24" xfId="0" applyFont="1" applyFill="1" applyBorder="1" applyAlignment="1" applyProtection="1">
      <alignment horizontal="center"/>
    </xf>
    <xf numFmtId="0" fontId="14" fillId="20" borderId="66" xfId="0" applyFont="1" applyFill="1" applyBorder="1" applyAlignment="1" applyProtection="1">
      <alignment horizontal="left"/>
    </xf>
    <xf numFmtId="0" fontId="3" fillId="20" borderId="82" xfId="0" applyFont="1" applyFill="1" applyBorder="1" applyAlignment="1" applyProtection="1">
      <alignment horizontal="left"/>
    </xf>
    <xf numFmtId="0" fontId="5" fillId="20" borderId="155" xfId="0" applyFont="1" applyFill="1" applyBorder="1" applyAlignment="1" applyProtection="1">
      <alignment horizontal="left"/>
    </xf>
    <xf numFmtId="0" fontId="5" fillId="20" borderId="121" xfId="0" applyFont="1" applyFill="1" applyBorder="1" applyAlignment="1" applyProtection="1">
      <alignment horizontal="center"/>
    </xf>
    <xf numFmtId="0" fontId="5" fillId="20" borderId="57" xfId="0" applyFont="1" applyFill="1" applyBorder="1" applyAlignment="1" applyProtection="1">
      <alignment horizontal="center"/>
    </xf>
    <xf numFmtId="0" fontId="3" fillId="20" borderId="2" xfId="0" applyFont="1" applyFill="1" applyBorder="1" applyAlignment="1" applyProtection="1">
      <alignment horizontal="right"/>
    </xf>
    <xf numFmtId="0" fontId="3" fillId="20" borderId="146" xfId="0" applyFont="1" applyFill="1" applyBorder="1" applyAlignment="1" applyProtection="1">
      <alignment horizontal="center"/>
    </xf>
    <xf numFmtId="0" fontId="5" fillId="20" borderId="118" xfId="0" applyFont="1" applyFill="1" applyBorder="1" applyProtection="1"/>
    <xf numFmtId="0" fontId="3" fillId="20" borderId="127" xfId="0" applyFont="1" applyFill="1" applyBorder="1" applyAlignment="1" applyProtection="1">
      <alignment vertical="top"/>
    </xf>
    <xf numFmtId="1" fontId="3" fillId="20" borderId="15" xfId="0" applyNumberFormat="1" applyFont="1" applyFill="1" applyBorder="1" applyAlignment="1" applyProtection="1">
      <alignment horizontal="left"/>
    </xf>
    <xf numFmtId="0" fontId="5" fillId="20" borderId="15" xfId="0" applyFont="1" applyFill="1" applyBorder="1" applyProtection="1"/>
    <xf numFmtId="0" fontId="7" fillId="20" borderId="129" xfId="0" applyFont="1" applyFill="1" applyBorder="1" applyProtection="1"/>
    <xf numFmtId="3" fontId="2" fillId="20" borderId="90" xfId="0" applyNumberFormat="1" applyFont="1" applyFill="1" applyBorder="1" applyProtection="1"/>
    <xf numFmtId="0" fontId="3" fillId="20" borderId="127" xfId="0" applyFont="1" applyFill="1" applyBorder="1" applyAlignment="1" applyProtection="1">
      <alignment horizontal="center"/>
    </xf>
    <xf numFmtId="1" fontId="3" fillId="20" borderId="9" xfId="0" applyNumberFormat="1" applyFont="1" applyFill="1" applyBorder="1" applyAlignment="1" applyProtection="1">
      <alignment horizontal="center"/>
    </xf>
    <xf numFmtId="0" fontId="3" fillId="20" borderId="9" xfId="0" applyFont="1" applyFill="1" applyBorder="1" applyProtection="1"/>
    <xf numFmtId="0" fontId="3" fillId="20" borderId="47" xfId="0" applyFont="1" applyFill="1" applyBorder="1" applyAlignment="1" applyProtection="1">
      <alignment horizontal="left"/>
    </xf>
    <xf numFmtId="0" fontId="5" fillId="20" borderId="157" xfId="0" applyFont="1" applyFill="1" applyBorder="1" applyAlignment="1" applyProtection="1">
      <alignment horizontal="center"/>
    </xf>
    <xf numFmtId="0" fontId="3" fillId="20" borderId="158" xfId="0" applyFont="1" applyFill="1" applyBorder="1" applyAlignment="1" applyProtection="1">
      <alignment horizontal="left" vertical="top"/>
    </xf>
    <xf numFmtId="0" fontId="5" fillId="20" borderId="159" xfId="0" applyFont="1" applyFill="1" applyBorder="1" applyAlignment="1" applyProtection="1">
      <alignment horizontal="center"/>
    </xf>
    <xf numFmtId="0" fontId="5" fillId="20" borderId="158" xfId="0" applyFont="1" applyFill="1" applyBorder="1" applyAlignment="1" applyProtection="1">
      <alignment horizontal="left"/>
    </xf>
    <xf numFmtId="0" fontId="5" fillId="20" borderId="159" xfId="0" applyFont="1" applyFill="1" applyBorder="1" applyAlignment="1" applyProtection="1">
      <alignment horizontal="right"/>
    </xf>
    <xf numFmtId="49" fontId="8" fillId="20" borderId="14" xfId="0" applyNumberFormat="1" applyFont="1" applyFill="1" applyBorder="1" applyAlignment="1" applyProtection="1">
      <alignment horizontal="center"/>
    </xf>
    <xf numFmtId="49" fontId="8" fillId="20" borderId="9" xfId="0" applyNumberFormat="1" applyFont="1" applyFill="1" applyBorder="1" applyAlignment="1" applyProtection="1">
      <alignment horizontal="center"/>
    </xf>
    <xf numFmtId="1" fontId="8" fillId="20" borderId="133" xfId="0" applyNumberFormat="1" applyFont="1" applyFill="1" applyBorder="1" applyAlignment="1" applyProtection="1">
      <alignment horizontal="center"/>
    </xf>
    <xf numFmtId="1" fontId="8" fillId="20" borderId="133" xfId="0" applyNumberFormat="1" applyFont="1" applyFill="1" applyBorder="1" applyAlignment="1" applyProtection="1">
      <alignment horizontal="left"/>
    </xf>
    <xf numFmtId="1" fontId="8" fillId="20" borderId="42" xfId="0" applyNumberFormat="1" applyFont="1" applyFill="1" applyBorder="1" applyAlignment="1" applyProtection="1">
      <alignment horizontal="center"/>
    </xf>
    <xf numFmtId="49" fontId="8" fillId="20" borderId="161" xfId="0" applyNumberFormat="1" applyFont="1" applyFill="1" applyBorder="1" applyAlignment="1" applyProtection="1">
      <alignment horizontal="center"/>
    </xf>
    <xf numFmtId="0" fontId="14" fillId="20" borderId="118" xfId="0" applyFont="1" applyFill="1" applyBorder="1" applyAlignment="1" applyProtection="1">
      <alignment horizontal="left"/>
    </xf>
    <xf numFmtId="0" fontId="14" fillId="20" borderId="15" xfId="0" applyFont="1" applyFill="1" applyBorder="1" applyAlignment="1" applyProtection="1">
      <alignment horizontal="left"/>
    </xf>
    <xf numFmtId="0" fontId="5" fillId="20" borderId="42" xfId="0" applyFont="1" applyFill="1" applyBorder="1" applyAlignment="1" applyProtection="1">
      <alignment horizontal="left"/>
    </xf>
    <xf numFmtId="1" fontId="8" fillId="20" borderId="5" xfId="0" applyNumberFormat="1" applyFont="1" applyFill="1" applyBorder="1" applyAlignment="1" applyProtection="1">
      <alignment horizontal="center"/>
    </xf>
    <xf numFmtId="0" fontId="8" fillId="20" borderId="5" xfId="0" applyFont="1" applyFill="1" applyBorder="1" applyProtection="1"/>
    <xf numFmtId="166" fontId="14" fillId="20" borderId="60" xfId="0" applyNumberFormat="1" applyFont="1" applyFill="1" applyBorder="1" applyAlignment="1" applyProtection="1">
      <alignment horizontal="left"/>
    </xf>
    <xf numFmtId="166" fontId="14" fillId="20" borderId="88" xfId="0" applyNumberFormat="1" applyFont="1" applyFill="1" applyBorder="1" applyAlignment="1" applyProtection="1">
      <alignment horizontal="left"/>
    </xf>
    <xf numFmtId="166" fontId="20" fillId="20" borderId="90" xfId="0" applyNumberFormat="1" applyFont="1" applyFill="1" applyBorder="1" applyAlignment="1" applyProtection="1">
      <alignment horizontal="left"/>
    </xf>
    <xf numFmtId="0" fontId="14" fillId="20" borderId="116" xfId="0" applyFont="1" applyFill="1" applyBorder="1" applyProtection="1"/>
    <xf numFmtId="0" fontId="14" fillId="20" borderId="90" xfId="0" applyFont="1" applyFill="1" applyBorder="1" applyProtection="1"/>
    <xf numFmtId="166" fontId="4" fillId="20" borderId="60" xfId="0" applyNumberFormat="1" applyFont="1" applyFill="1" applyBorder="1" applyAlignment="1" applyProtection="1">
      <alignment horizontal="left"/>
    </xf>
    <xf numFmtId="166" fontId="20" fillId="20" borderId="90" xfId="0" applyNumberFormat="1" applyFont="1" applyFill="1" applyBorder="1" applyProtection="1"/>
    <xf numFmtId="1" fontId="3" fillId="20" borderId="154" xfId="0" applyNumberFormat="1" applyFont="1" applyFill="1" applyBorder="1" applyAlignment="1" applyProtection="1">
      <alignment horizontal="left"/>
    </xf>
    <xf numFmtId="0" fontId="12" fillId="20" borderId="116" xfId="0" applyFont="1" applyFill="1" applyBorder="1" applyAlignment="1" applyProtection="1">
      <alignment horizontal="left"/>
    </xf>
    <xf numFmtId="0" fontId="5" fillId="20" borderId="1" xfId="0" applyFont="1" applyFill="1" applyBorder="1" applyAlignment="1" applyProtection="1">
      <alignment horizontal="left"/>
    </xf>
    <xf numFmtId="166" fontId="5" fillId="20" borderId="90" xfId="0" applyNumberFormat="1" applyFont="1" applyFill="1" applyBorder="1" applyAlignment="1" applyProtection="1">
      <alignment horizontal="left"/>
    </xf>
    <xf numFmtId="1" fontId="14" fillId="20" borderId="25" xfId="0" applyNumberFormat="1" applyFont="1" applyFill="1" applyBorder="1" applyAlignment="1" applyProtection="1">
      <alignment horizontal="center"/>
    </xf>
    <xf numFmtId="1" fontId="3" fillId="20" borderId="84" xfId="0" applyNumberFormat="1" applyFont="1" applyFill="1" applyBorder="1" applyAlignment="1" applyProtection="1">
      <alignment horizontal="center"/>
    </xf>
    <xf numFmtId="0" fontId="3" fillId="20" borderId="98" xfId="0" applyFont="1" applyFill="1" applyBorder="1" applyAlignment="1" applyProtection="1">
      <alignment horizontal="left" vertical="top" wrapText="1"/>
    </xf>
    <xf numFmtId="0" fontId="58" fillId="20" borderId="120" xfId="0" applyFont="1" applyFill="1" applyBorder="1" applyProtection="1"/>
    <xf numFmtId="0" fontId="4" fillId="20" borderId="89" xfId="0" applyFont="1" applyFill="1" applyBorder="1" applyAlignment="1" applyProtection="1"/>
    <xf numFmtId="0" fontId="87" fillId="20" borderId="89" xfId="0" applyFont="1" applyFill="1" applyBorder="1" applyAlignment="1"/>
    <xf numFmtId="1" fontId="3" fillId="20" borderId="98" xfId="0" applyNumberFormat="1" applyFont="1" applyFill="1" applyBorder="1" applyAlignment="1" applyProtection="1">
      <alignment horizontal="left"/>
    </xf>
    <xf numFmtId="0" fontId="3" fillId="20" borderId="118" xfId="0" applyFont="1" applyFill="1" applyBorder="1" applyAlignment="1" applyProtection="1">
      <alignment horizontal="left"/>
    </xf>
    <xf numFmtId="3" fontId="3" fillId="20" borderId="163" xfId="0" applyNumberFormat="1" applyFont="1" applyFill="1" applyBorder="1" applyAlignment="1" applyProtection="1">
      <alignment horizontal="left"/>
    </xf>
    <xf numFmtId="3" fontId="3" fillId="20" borderId="164" xfId="0" applyNumberFormat="1" applyFont="1" applyFill="1" applyBorder="1" applyProtection="1"/>
    <xf numFmtId="1" fontId="3" fillId="20" borderId="127" xfId="0" applyNumberFormat="1" applyFont="1" applyFill="1" applyBorder="1" applyAlignment="1" applyProtection="1">
      <alignment horizontal="left"/>
    </xf>
    <xf numFmtId="3" fontId="3" fillId="20" borderId="15" xfId="0" applyNumberFormat="1" applyFont="1" applyFill="1" applyBorder="1" applyAlignment="1" applyProtection="1">
      <alignment horizontal="left"/>
    </xf>
    <xf numFmtId="0" fontId="3" fillId="20" borderId="0" xfId="0" applyFont="1" applyFill="1" applyBorder="1" applyProtection="1"/>
    <xf numFmtId="3" fontId="3" fillId="20" borderId="15" xfId="0" applyNumberFormat="1" applyFont="1" applyFill="1" applyBorder="1" applyProtection="1"/>
    <xf numFmtId="0" fontId="7" fillId="20" borderId="116" xfId="0" applyFont="1" applyFill="1" applyBorder="1" applyProtection="1"/>
    <xf numFmtId="0" fontId="3" fillId="20" borderId="1" xfId="0" applyFont="1" applyFill="1" applyBorder="1" applyProtection="1"/>
    <xf numFmtId="0" fontId="3" fillId="20" borderId="42" xfId="0" applyFont="1" applyFill="1" applyBorder="1" applyProtection="1"/>
    <xf numFmtId="49" fontId="3" fillId="20" borderId="135" xfId="0" applyNumberFormat="1" applyFont="1" applyFill="1" applyBorder="1" applyAlignment="1" applyProtection="1">
      <alignment horizontal="left"/>
    </xf>
    <xf numFmtId="0" fontId="3" fillId="20" borderId="136" xfId="0" applyFont="1" applyFill="1" applyBorder="1" applyProtection="1"/>
    <xf numFmtId="170" fontId="3" fillId="20" borderId="35" xfId="0" applyNumberFormat="1" applyFont="1" applyFill="1" applyBorder="1" applyAlignment="1" applyProtection="1">
      <alignment horizontal="left"/>
    </xf>
    <xf numFmtId="49" fontId="8" fillId="20" borderId="134" xfId="0" applyNumberFormat="1" applyFont="1" applyFill="1" applyBorder="1" applyAlignment="1" applyProtection="1">
      <alignment horizontal="center"/>
    </xf>
    <xf numFmtId="49" fontId="3" fillId="20" borderId="125" xfId="0" applyNumberFormat="1" applyFont="1" applyFill="1" applyBorder="1" applyAlignment="1" applyProtection="1">
      <alignment horizontal="center"/>
    </xf>
    <xf numFmtId="3" fontId="2" fillId="20" borderId="35" xfId="0" applyNumberFormat="1" applyFont="1" applyFill="1" applyBorder="1" applyAlignment="1" applyProtection="1">
      <alignment horizontal="right"/>
    </xf>
    <xf numFmtId="0" fontId="5" fillId="20" borderId="70" xfId="0" applyFont="1" applyFill="1" applyBorder="1" applyProtection="1"/>
    <xf numFmtId="49" fontId="8" fillId="20" borderId="131" xfId="0" applyNumberFormat="1" applyFont="1" applyFill="1" applyBorder="1" applyAlignment="1" applyProtection="1">
      <alignment horizontal="center"/>
    </xf>
    <xf numFmtId="0" fontId="14" fillId="20" borderId="42" xfId="0" applyFont="1" applyFill="1" applyBorder="1" applyAlignment="1" applyProtection="1">
      <alignment horizontal="left"/>
    </xf>
    <xf numFmtId="0" fontId="5" fillId="20" borderId="2" xfId="0" applyFont="1" applyFill="1" applyBorder="1" applyAlignment="1" applyProtection="1">
      <alignment horizontal="left" wrapText="1"/>
    </xf>
    <xf numFmtId="0" fontId="8" fillId="20" borderId="2" xfId="0" applyFont="1" applyFill="1" applyBorder="1" applyAlignment="1" applyProtection="1">
      <alignment horizontal="left"/>
    </xf>
    <xf numFmtId="49" fontId="8" fillId="20" borderId="144" xfId="0" applyNumberFormat="1" applyFont="1" applyFill="1" applyBorder="1" applyAlignment="1" applyProtection="1">
      <alignment horizontal="center"/>
    </xf>
    <xf numFmtId="0" fontId="8" fillId="20" borderId="13" xfId="0" applyFont="1" applyFill="1" applyBorder="1" applyProtection="1"/>
    <xf numFmtId="49" fontId="8" fillId="20" borderId="100" xfId="0" applyNumberFormat="1" applyFont="1" applyFill="1" applyBorder="1" applyAlignment="1" applyProtection="1">
      <alignment horizontal="center"/>
    </xf>
    <xf numFmtId="1" fontId="3" fillId="20" borderId="23" xfId="0" applyNumberFormat="1" applyFont="1" applyFill="1" applyBorder="1" applyAlignment="1" applyProtection="1">
      <alignment horizontal="left" vertical="top" wrapText="1"/>
    </xf>
    <xf numFmtId="0" fontId="3" fillId="20" borderId="165" xfId="0" applyFont="1" applyFill="1" applyBorder="1" applyAlignment="1" applyProtection="1">
      <alignment vertical="top"/>
    </xf>
    <xf numFmtId="0" fontId="8" fillId="20" borderId="166" xfId="0" applyFont="1" applyFill="1" applyBorder="1" applyProtection="1"/>
    <xf numFmtId="0" fontId="11" fillId="20" borderId="127" xfId="0" applyFont="1" applyFill="1" applyBorder="1" applyProtection="1"/>
    <xf numFmtId="0" fontId="8" fillId="20" borderId="44" xfId="0" applyFont="1" applyFill="1" applyBorder="1" applyProtection="1"/>
    <xf numFmtId="0" fontId="0" fillId="20" borderId="127" xfId="0" applyFill="1" applyBorder="1" applyProtection="1"/>
    <xf numFmtId="0" fontId="12" fillId="24" borderId="116" xfId="0" applyFont="1" applyFill="1" applyBorder="1" applyProtection="1"/>
    <xf numFmtId="49" fontId="11" fillId="24" borderId="58" xfId="0" applyNumberFormat="1" applyFont="1" applyFill="1" applyBorder="1" applyProtection="1"/>
    <xf numFmtId="0" fontId="19" fillId="20" borderId="167" xfId="0" applyFont="1" applyFill="1" applyBorder="1" applyProtection="1"/>
    <xf numFmtId="49" fontId="13" fillId="20" borderId="127" xfId="0" applyNumberFormat="1" applyFont="1" applyFill="1" applyBorder="1" applyAlignment="1" applyProtection="1">
      <alignment horizontal="left"/>
    </xf>
    <xf numFmtId="0" fontId="14" fillId="20" borderId="168" xfId="0" applyFont="1" applyFill="1" applyBorder="1" applyAlignment="1" applyProtection="1">
      <alignment wrapText="1"/>
    </xf>
    <xf numFmtId="0" fontId="8" fillId="20" borderId="3" xfId="0" applyFont="1" applyFill="1" applyBorder="1" applyAlignment="1" applyProtection="1"/>
    <xf numFmtId="0" fontId="8" fillId="20" borderId="6" xfId="0" applyFont="1" applyFill="1" applyBorder="1" applyProtection="1"/>
    <xf numFmtId="0" fontId="14" fillId="20" borderId="117" xfId="0" applyFont="1" applyFill="1" applyBorder="1" applyProtection="1"/>
    <xf numFmtId="0" fontId="8" fillId="20" borderId="3" xfId="0" applyFont="1" applyFill="1" applyBorder="1" applyProtection="1"/>
    <xf numFmtId="0" fontId="14" fillId="20" borderId="96" xfId="0" applyFont="1" applyFill="1" applyBorder="1" applyProtection="1"/>
    <xf numFmtId="0" fontId="14" fillId="20" borderId="44" xfId="0" applyFont="1" applyFill="1" applyBorder="1" applyProtection="1"/>
    <xf numFmtId="0" fontId="8" fillId="20" borderId="72" xfId="0" applyFont="1" applyFill="1" applyBorder="1" applyProtection="1"/>
    <xf numFmtId="0" fontId="14" fillId="20" borderId="168" xfId="0" applyFont="1" applyFill="1" applyBorder="1" applyProtection="1"/>
    <xf numFmtId="0" fontId="5" fillId="20" borderId="168" xfId="0" applyFont="1" applyFill="1" applyBorder="1" applyAlignment="1" applyProtection="1">
      <alignment wrapText="1"/>
    </xf>
    <xf numFmtId="0" fontId="3" fillId="20" borderId="6" xfId="0" applyFont="1" applyFill="1" applyBorder="1" applyProtection="1"/>
    <xf numFmtId="0" fontId="14" fillId="20" borderId="94" xfId="0" applyFont="1" applyFill="1" applyBorder="1" applyProtection="1"/>
    <xf numFmtId="49" fontId="3" fillId="20" borderId="3" xfId="0" applyNumberFormat="1" applyFont="1" applyFill="1" applyBorder="1" applyAlignment="1" applyProtection="1">
      <alignment horizontal="left"/>
    </xf>
    <xf numFmtId="49" fontId="3" fillId="20" borderId="92" xfId="0" applyNumberFormat="1" applyFont="1" applyFill="1" applyBorder="1" applyAlignment="1" applyProtection="1">
      <alignment horizontal="left"/>
    </xf>
    <xf numFmtId="0" fontId="3" fillId="20" borderId="3" xfId="0" applyFont="1" applyFill="1" applyBorder="1" applyAlignment="1" applyProtection="1">
      <alignment wrapText="1"/>
    </xf>
    <xf numFmtId="0" fontId="14" fillId="20" borderId="94" xfId="0" applyFont="1" applyFill="1" applyBorder="1" applyAlignment="1" applyProtection="1"/>
    <xf numFmtId="0" fontId="3" fillId="20" borderId="3" xfId="0" applyFont="1" applyFill="1" applyBorder="1" applyProtection="1"/>
    <xf numFmtId="0" fontId="103" fillId="20" borderId="3" xfId="0" applyFont="1" applyFill="1" applyBorder="1" applyProtection="1"/>
    <xf numFmtId="0" fontId="8" fillId="20" borderId="10" xfId="0" applyFont="1" applyFill="1" applyBorder="1" applyProtection="1"/>
    <xf numFmtId="0" fontId="8" fillId="20" borderId="99" xfId="0" applyFont="1" applyFill="1" applyBorder="1" applyProtection="1"/>
    <xf numFmtId="3" fontId="3" fillId="20" borderId="128" xfId="0" applyNumberFormat="1" applyFont="1" applyFill="1" applyBorder="1" applyAlignment="1" applyProtection="1">
      <alignment horizontal="left" vertical="top" wrapText="1"/>
    </xf>
    <xf numFmtId="3" fontId="3" fillId="20" borderId="15" xfId="0" applyNumberFormat="1" applyFont="1" applyFill="1" applyBorder="1" applyAlignment="1" applyProtection="1">
      <alignment horizontal="left" vertical="top"/>
    </xf>
    <xf numFmtId="3" fontId="3" fillId="20" borderId="68" xfId="0" applyNumberFormat="1" applyFont="1" applyFill="1" applyBorder="1" applyAlignment="1" applyProtection="1">
      <alignment horizontal="left" vertical="top" wrapText="1"/>
    </xf>
    <xf numFmtId="3" fontId="3" fillId="20" borderId="16" xfId="0" applyNumberFormat="1" applyFont="1" applyFill="1" applyBorder="1" applyAlignment="1" applyProtection="1">
      <alignment horizontal="left" vertical="top" wrapText="1"/>
    </xf>
    <xf numFmtId="3" fontId="3" fillId="20" borderId="154" xfId="0" applyNumberFormat="1" applyFont="1" applyFill="1" applyBorder="1" applyProtection="1"/>
    <xf numFmtId="0" fontId="3" fillId="20" borderId="154" xfId="0" applyFont="1" applyFill="1" applyBorder="1" applyAlignment="1" applyProtection="1">
      <alignment horizontal="left" vertical="top" wrapText="1"/>
    </xf>
    <xf numFmtId="0" fontId="3" fillId="20" borderId="154" xfId="0" applyFont="1" applyFill="1" applyBorder="1" applyProtection="1"/>
    <xf numFmtId="3" fontId="8" fillId="20" borderId="16" xfId="0" applyNumberFormat="1" applyFont="1" applyFill="1" applyBorder="1" applyProtection="1"/>
    <xf numFmtId="0" fontId="8" fillId="20" borderId="150" xfId="0" applyFont="1" applyFill="1" applyBorder="1" applyProtection="1"/>
    <xf numFmtId="49" fontId="11" fillId="20" borderId="169" xfId="0" applyNumberFormat="1" applyFont="1" applyFill="1" applyBorder="1" applyProtection="1"/>
    <xf numFmtId="49" fontId="11" fillId="20" borderId="167" xfId="0" applyNumberFormat="1" applyFont="1" applyFill="1" applyBorder="1" applyProtection="1"/>
    <xf numFmtId="49" fontId="11" fillId="20" borderId="136" xfId="0" applyNumberFormat="1" applyFont="1" applyFill="1" applyBorder="1" applyProtection="1"/>
    <xf numFmtId="49" fontId="11" fillId="20" borderId="113" xfId="0" applyNumberFormat="1" applyFont="1" applyFill="1" applyBorder="1" applyProtection="1"/>
    <xf numFmtId="49" fontId="11" fillId="20" borderId="126" xfId="0" applyNumberFormat="1" applyFont="1" applyFill="1" applyBorder="1" applyProtection="1"/>
    <xf numFmtId="49" fontId="11" fillId="20" borderId="170" xfId="0" applyNumberFormat="1" applyFont="1" applyFill="1" applyBorder="1" applyProtection="1"/>
    <xf numFmtId="49" fontId="11" fillId="20" borderId="4" xfId="0" applyNumberFormat="1" applyFont="1" applyFill="1" applyBorder="1" applyProtection="1"/>
    <xf numFmtId="49" fontId="11" fillId="20" borderId="3" xfId="0" applyNumberFormat="1" applyFont="1" applyFill="1" applyBorder="1" applyProtection="1"/>
    <xf numFmtId="49" fontId="11" fillId="20" borderId="2" xfId="0" applyNumberFormat="1" applyFont="1" applyFill="1" applyBorder="1" applyProtection="1"/>
    <xf numFmtId="49" fontId="11" fillId="20" borderId="82" xfId="0" applyNumberFormat="1" applyFont="1" applyFill="1" applyBorder="1" applyProtection="1"/>
    <xf numFmtId="49" fontId="11" fillId="20" borderId="65" xfId="0" applyNumberFormat="1" applyFont="1" applyFill="1" applyBorder="1" applyProtection="1"/>
    <xf numFmtId="49" fontId="11" fillId="20" borderId="53" xfId="0" applyNumberFormat="1" applyFont="1" applyFill="1" applyBorder="1" applyProtection="1"/>
    <xf numFmtId="3" fontId="13" fillId="20" borderId="14" xfId="0" applyNumberFormat="1" applyFont="1" applyFill="1" applyBorder="1" applyAlignment="1" applyProtection="1">
      <alignment horizontal="right"/>
    </xf>
    <xf numFmtId="3" fontId="13" fillId="20" borderId="10" xfId="0" applyNumberFormat="1" applyFont="1" applyFill="1" applyBorder="1" applyAlignment="1" applyProtection="1">
      <alignment horizontal="right"/>
    </xf>
    <xf numFmtId="3" fontId="13" fillId="20" borderId="9" xfId="0" applyNumberFormat="1" applyFont="1" applyFill="1" applyBorder="1" applyAlignment="1" applyProtection="1">
      <alignment horizontal="right"/>
    </xf>
    <xf numFmtId="3" fontId="13" fillId="20" borderId="20" xfId="0" applyNumberFormat="1" applyFont="1" applyFill="1" applyBorder="1" applyAlignment="1" applyProtection="1">
      <alignment horizontal="right"/>
    </xf>
    <xf numFmtId="3" fontId="13" fillId="20" borderId="101" xfId="0" applyNumberFormat="1" applyFont="1" applyFill="1" applyBorder="1" applyAlignment="1" applyProtection="1">
      <alignment horizontal="right"/>
    </xf>
    <xf numFmtId="3" fontId="13" fillId="20" borderId="117" xfId="0" applyNumberFormat="1" applyFont="1" applyFill="1" applyBorder="1" applyAlignment="1" applyProtection="1">
      <alignment horizontal="right"/>
    </xf>
    <xf numFmtId="3" fontId="13" fillId="20" borderId="124" xfId="0" applyNumberFormat="1" applyFont="1" applyFill="1" applyBorder="1" applyAlignment="1" applyProtection="1">
      <alignment horizontal="right"/>
    </xf>
    <xf numFmtId="3" fontId="13" fillId="20" borderId="95" xfId="0" applyNumberFormat="1" applyFont="1" applyFill="1" applyBorder="1" applyAlignment="1" applyProtection="1">
      <alignment horizontal="right"/>
    </xf>
    <xf numFmtId="3" fontId="13" fillId="20" borderId="118" xfId="0" applyNumberFormat="1" applyFont="1" applyFill="1" applyBorder="1" applyAlignment="1" applyProtection="1">
      <alignment horizontal="right"/>
    </xf>
    <xf numFmtId="3" fontId="13" fillId="20" borderId="96" xfId="0" applyNumberFormat="1" applyFont="1" applyFill="1" applyBorder="1" applyAlignment="1" applyProtection="1">
      <alignment horizontal="right"/>
    </xf>
    <xf numFmtId="3" fontId="13" fillId="20" borderId="88" xfId="0" applyNumberFormat="1" applyFont="1" applyFill="1" applyBorder="1" applyAlignment="1" applyProtection="1">
      <alignment horizontal="right"/>
    </xf>
    <xf numFmtId="3" fontId="13" fillId="20" borderId="4" xfId="0" applyNumberFormat="1" applyFont="1" applyFill="1" applyBorder="1" applyAlignment="1" applyProtection="1">
      <alignment horizontal="right"/>
    </xf>
    <xf numFmtId="3" fontId="13" fillId="20" borderId="3" xfId="0" applyNumberFormat="1" applyFont="1" applyFill="1" applyBorder="1" applyAlignment="1" applyProtection="1">
      <alignment horizontal="right"/>
    </xf>
    <xf numFmtId="3" fontId="13" fillId="20" borderId="55" xfId="0" applyNumberFormat="1" applyFont="1" applyFill="1" applyBorder="1" applyAlignment="1" applyProtection="1">
      <alignment horizontal="right"/>
    </xf>
    <xf numFmtId="3" fontId="13" fillId="20" borderId="54" xfId="0" applyNumberFormat="1" applyFont="1" applyFill="1" applyBorder="1" applyAlignment="1" applyProtection="1">
      <alignment horizontal="right"/>
    </xf>
    <xf numFmtId="3" fontId="13" fillId="20" borderId="2" xfId="0" applyNumberFormat="1" applyFont="1" applyFill="1" applyBorder="1" applyAlignment="1" applyProtection="1">
      <alignment horizontal="right"/>
    </xf>
    <xf numFmtId="3" fontId="13" fillId="20" borderId="65" xfId="0" applyNumberFormat="1" applyFont="1" applyFill="1" applyBorder="1" applyAlignment="1" applyProtection="1">
      <alignment horizontal="right"/>
    </xf>
    <xf numFmtId="3" fontId="13" fillId="20" borderId="18" xfId="0" applyNumberFormat="1" applyFont="1" applyFill="1" applyBorder="1" applyAlignment="1" applyProtection="1">
      <alignment horizontal="right"/>
    </xf>
    <xf numFmtId="3" fontId="13" fillId="20" borderId="7" xfId="0" applyNumberFormat="1" applyFont="1" applyFill="1" applyBorder="1" applyAlignment="1" applyProtection="1">
      <alignment horizontal="right"/>
    </xf>
    <xf numFmtId="3" fontId="13" fillId="20" borderId="6" xfId="0" applyNumberFormat="1" applyFont="1" applyFill="1" applyBorder="1" applyAlignment="1" applyProtection="1">
      <alignment horizontal="right"/>
    </xf>
    <xf numFmtId="3" fontId="13" fillId="20" borderId="5" xfId="0" applyNumberFormat="1" applyFont="1" applyFill="1" applyBorder="1" applyAlignment="1" applyProtection="1">
      <alignment horizontal="right"/>
    </xf>
    <xf numFmtId="3" fontId="13" fillId="20" borderId="19" xfId="0" applyNumberFormat="1" applyFont="1" applyFill="1" applyBorder="1" applyAlignment="1" applyProtection="1">
      <alignment horizontal="right"/>
    </xf>
    <xf numFmtId="3" fontId="5" fillId="20" borderId="119" xfId="0" applyNumberFormat="1" applyFont="1" applyFill="1" applyBorder="1" applyAlignment="1" applyProtection="1">
      <alignment horizontal="left" vertical="top" wrapText="1"/>
    </xf>
    <xf numFmtId="3" fontId="3" fillId="20" borderId="127" xfId="0" applyNumberFormat="1" applyFont="1" applyFill="1" applyBorder="1" applyAlignment="1" applyProtection="1">
      <alignment horizontal="left" vertical="top" wrapText="1"/>
    </xf>
    <xf numFmtId="0" fontId="3" fillId="20" borderId="161" xfId="0" applyFont="1" applyFill="1" applyBorder="1" applyAlignment="1" applyProtection="1">
      <alignment horizontal="left" vertical="top" wrapText="1"/>
    </xf>
    <xf numFmtId="3" fontId="5" fillId="20" borderId="160" xfId="0" applyNumberFormat="1" applyFont="1" applyFill="1" applyBorder="1" applyAlignment="1" applyProtection="1">
      <alignment vertical="top" wrapText="1"/>
    </xf>
    <xf numFmtId="3" fontId="8" fillId="20" borderId="127" xfId="0" applyNumberFormat="1" applyFont="1" applyFill="1" applyBorder="1" applyProtection="1"/>
    <xf numFmtId="3" fontId="5" fillId="20" borderId="160" xfId="0" applyNumberFormat="1" applyFont="1" applyFill="1" applyBorder="1" applyProtection="1"/>
    <xf numFmtId="3" fontId="8" fillId="20" borderId="160" xfId="0" applyNumberFormat="1" applyFont="1" applyFill="1" applyBorder="1" applyProtection="1"/>
    <xf numFmtId="0" fontId="8" fillId="20" borderId="127" xfId="0" applyFont="1" applyFill="1" applyBorder="1" applyProtection="1"/>
    <xf numFmtId="0" fontId="8" fillId="20" borderId="116" xfId="0" applyFont="1" applyFill="1" applyBorder="1" applyProtection="1"/>
    <xf numFmtId="0" fontId="11" fillId="20" borderId="172" xfId="0" applyFont="1" applyFill="1" applyBorder="1" applyProtection="1"/>
    <xf numFmtId="49" fontId="11" fillId="20" borderId="135" xfId="0" applyNumberFormat="1" applyFont="1" applyFill="1" applyBorder="1" applyProtection="1"/>
    <xf numFmtId="49" fontId="11" fillId="20" borderId="173" xfId="0" applyNumberFormat="1" applyFont="1" applyFill="1" applyBorder="1" applyProtection="1"/>
    <xf numFmtId="49" fontId="11" fillId="20" borderId="21" xfId="0" applyNumberFormat="1" applyFont="1" applyFill="1" applyBorder="1" applyProtection="1"/>
    <xf numFmtId="49" fontId="11" fillId="20" borderId="108" xfId="0" applyNumberFormat="1" applyFont="1" applyFill="1" applyBorder="1" applyProtection="1"/>
    <xf numFmtId="3" fontId="13" fillId="20" borderId="23" xfId="0" applyNumberFormat="1" applyFont="1" applyFill="1" applyBorder="1" applyAlignment="1" applyProtection="1">
      <alignment horizontal="right"/>
    </xf>
    <xf numFmtId="3" fontId="13" fillId="20" borderId="98" xfId="0" applyNumberFormat="1" applyFont="1" applyFill="1" applyBorder="1" applyAlignment="1" applyProtection="1">
      <alignment horizontal="right"/>
    </xf>
    <xf numFmtId="3" fontId="13" fillId="20" borderId="21" xfId="0" applyNumberFormat="1" applyFont="1" applyFill="1" applyBorder="1" applyAlignment="1" applyProtection="1">
      <alignment horizontal="right"/>
    </xf>
    <xf numFmtId="3" fontId="13" fillId="20" borderId="22" xfId="0" applyNumberFormat="1" applyFont="1" applyFill="1" applyBorder="1" applyAlignment="1" applyProtection="1">
      <alignment horizontal="right"/>
    </xf>
    <xf numFmtId="3" fontId="3" fillId="20" borderId="130" xfId="0" applyNumberFormat="1" applyFont="1" applyFill="1" applyBorder="1" applyAlignment="1" applyProtection="1">
      <alignment horizontal="left" vertical="top" wrapText="1"/>
    </xf>
    <xf numFmtId="3" fontId="3" fillId="20" borderId="69" xfId="0" applyNumberFormat="1" applyFont="1" applyFill="1" applyBorder="1" applyAlignment="1" applyProtection="1">
      <alignment horizontal="left" vertical="top" wrapText="1"/>
    </xf>
    <xf numFmtId="3" fontId="5" fillId="20" borderId="119" xfId="0" applyNumberFormat="1" applyFont="1" applyFill="1" applyBorder="1" applyAlignment="1" applyProtection="1">
      <alignment horizontal="left" vertical="top"/>
    </xf>
    <xf numFmtId="3" fontId="5" fillId="20" borderId="160" xfId="0" applyNumberFormat="1" applyFont="1" applyFill="1" applyBorder="1" applyAlignment="1" applyProtection="1">
      <alignment horizontal="left" vertical="top" wrapText="1"/>
    </xf>
    <xf numFmtId="0" fontId="8" fillId="20" borderId="160" xfId="0" applyFont="1" applyFill="1" applyBorder="1" applyProtection="1"/>
    <xf numFmtId="0" fontId="8" fillId="20" borderId="172" xfId="0" applyFont="1" applyFill="1" applyBorder="1" applyProtection="1"/>
    <xf numFmtId="49" fontId="11" fillId="20" borderId="174" xfId="0" applyNumberFormat="1" applyFont="1" applyFill="1" applyBorder="1" applyProtection="1"/>
    <xf numFmtId="49" fontId="11" fillId="20" borderId="175" xfId="0" applyNumberFormat="1" applyFont="1" applyFill="1" applyBorder="1" applyProtection="1"/>
    <xf numFmtId="49" fontId="11" fillId="20" borderId="28" xfId="0" applyNumberFormat="1" applyFont="1" applyFill="1" applyBorder="1" applyProtection="1"/>
    <xf numFmtId="49" fontId="11" fillId="20" borderId="103" xfId="0" applyNumberFormat="1" applyFont="1" applyFill="1" applyBorder="1" applyProtection="1"/>
    <xf numFmtId="3" fontId="13" fillId="20" borderId="30" xfId="0" applyNumberFormat="1" applyFont="1" applyFill="1" applyBorder="1" applyAlignment="1" applyProtection="1">
      <alignment horizontal="right"/>
    </xf>
    <xf numFmtId="3" fontId="13" fillId="20" borderId="31" xfId="0" applyNumberFormat="1" applyFont="1" applyFill="1" applyBorder="1" applyAlignment="1" applyProtection="1">
      <alignment horizontal="right"/>
    </xf>
    <xf numFmtId="3" fontId="13" fillId="20" borderId="47" xfId="0" applyNumberFormat="1" applyFont="1" applyFill="1" applyBorder="1" applyAlignment="1" applyProtection="1">
      <alignment horizontal="right"/>
    </xf>
    <xf numFmtId="3" fontId="13" fillId="20" borderId="119" xfId="0" applyNumberFormat="1" applyFont="1" applyFill="1" applyBorder="1" applyAlignment="1" applyProtection="1">
      <alignment horizontal="right"/>
    </xf>
    <xf numFmtId="3" fontId="13" fillId="20" borderId="28" xfId="0" applyNumberFormat="1" applyFont="1" applyFill="1" applyBorder="1" applyAlignment="1" applyProtection="1">
      <alignment horizontal="right"/>
    </xf>
    <xf numFmtId="3" fontId="13" fillId="20" borderId="103" xfId="0" applyNumberFormat="1" applyFont="1" applyFill="1" applyBorder="1" applyAlignment="1" applyProtection="1">
      <alignment horizontal="right"/>
    </xf>
    <xf numFmtId="3" fontId="13" fillId="20" borderId="29" xfId="0" applyNumberFormat="1" applyFont="1" applyFill="1" applyBorder="1" applyAlignment="1" applyProtection="1">
      <alignment horizontal="right"/>
    </xf>
    <xf numFmtId="3" fontId="13" fillId="20" borderId="32" xfId="0" applyNumberFormat="1" applyFont="1" applyFill="1" applyBorder="1" applyAlignment="1" applyProtection="1">
      <alignment horizontal="right"/>
    </xf>
    <xf numFmtId="0" fontId="8" fillId="20" borderId="154" xfId="0" applyFont="1" applyFill="1" applyBorder="1" applyAlignment="1" applyProtection="1">
      <alignment horizontal="left"/>
    </xf>
    <xf numFmtId="0" fontId="3" fillId="20" borderId="154" xfId="0" applyFont="1" applyFill="1" applyBorder="1" applyAlignment="1" applyProtection="1">
      <alignment horizontal="left"/>
    </xf>
    <xf numFmtId="0" fontId="8" fillId="20" borderId="15" xfId="0" applyFont="1" applyFill="1" applyBorder="1" applyAlignment="1" applyProtection="1">
      <alignment horizontal="left"/>
    </xf>
    <xf numFmtId="0" fontId="8" fillId="20" borderId="154" xfId="0" applyFont="1" applyFill="1" applyBorder="1" applyProtection="1"/>
    <xf numFmtId="0" fontId="8" fillId="20" borderId="154" xfId="0" applyFont="1" applyFill="1" applyBorder="1" applyAlignment="1" applyProtection="1">
      <alignment horizontal="center"/>
    </xf>
    <xf numFmtId="0" fontId="22" fillId="20" borderId="154" xfId="0" applyFont="1" applyFill="1" applyBorder="1" applyProtection="1"/>
    <xf numFmtId="0" fontId="33" fillId="20" borderId="154" xfId="0" applyFont="1" applyFill="1" applyBorder="1" applyProtection="1"/>
    <xf numFmtId="3" fontId="16" fillId="20" borderId="154" xfId="0" applyNumberFormat="1" applyFont="1" applyFill="1" applyBorder="1" applyProtection="1"/>
    <xf numFmtId="3" fontId="42" fillId="20" borderId="154" xfId="0" applyNumberFormat="1" applyFont="1" applyFill="1" applyBorder="1" applyProtection="1"/>
    <xf numFmtId="3" fontId="89" fillId="20" borderId="154" xfId="0" applyNumberFormat="1" applyFont="1" applyFill="1" applyBorder="1" applyProtection="1"/>
    <xf numFmtId="3" fontId="40" fillId="20" borderId="158" xfId="0" applyNumberFormat="1" applyFont="1" applyFill="1" applyBorder="1" applyProtection="1"/>
    <xf numFmtId="3" fontId="40" fillId="20" borderId="28" xfId="0" applyNumberFormat="1" applyFont="1" applyFill="1" applyBorder="1" applyAlignment="1" applyProtection="1">
      <alignment horizontal="right"/>
    </xf>
    <xf numFmtId="3" fontId="2" fillId="20" borderId="29" xfId="0" applyNumberFormat="1" applyFont="1" applyFill="1" applyBorder="1" applyAlignment="1" applyProtection="1">
      <alignment horizontal="right"/>
    </xf>
    <xf numFmtId="3" fontId="43" fillId="20" borderId="66" xfId="0" applyNumberFormat="1" applyFont="1" applyFill="1" applyBorder="1" applyProtection="1"/>
    <xf numFmtId="3" fontId="43" fillId="20" borderId="5" xfId="0" applyNumberFormat="1" applyFont="1" applyFill="1" applyBorder="1" applyProtection="1"/>
    <xf numFmtId="3" fontId="43" fillId="20" borderId="4" xfId="0" applyNumberFormat="1" applyFont="1" applyFill="1" applyBorder="1" applyProtection="1"/>
    <xf numFmtId="3" fontId="43" fillId="20" borderId="82" xfId="0" applyNumberFormat="1" applyFont="1" applyFill="1" applyBorder="1" applyProtection="1"/>
    <xf numFmtId="3" fontId="41" fillId="20" borderId="91" xfId="0" applyNumberFormat="1" applyFont="1" applyFill="1" applyBorder="1" applyProtection="1"/>
    <xf numFmtId="3" fontId="42" fillId="20" borderId="155" xfId="0" applyNumberFormat="1" applyFont="1" applyFill="1" applyBorder="1" applyProtection="1"/>
    <xf numFmtId="3" fontId="89" fillId="20" borderId="155" xfId="0" applyNumberFormat="1" applyFont="1" applyFill="1" applyBorder="1" applyProtection="1"/>
    <xf numFmtId="3" fontId="13" fillId="25" borderId="103" xfId="0" applyNumberFormat="1" applyFont="1" applyFill="1" applyBorder="1" applyAlignment="1" applyProtection="1">
      <alignment horizontal="right"/>
    </xf>
    <xf numFmtId="0" fontId="23" fillId="20" borderId="101" xfId="0" applyFont="1" applyFill="1" applyBorder="1" applyProtection="1"/>
    <xf numFmtId="0" fontId="23" fillId="20" borderId="96" xfId="0" applyFont="1" applyFill="1" applyBorder="1" applyProtection="1"/>
    <xf numFmtId="0" fontId="23" fillId="20" borderId="120" xfId="0" applyFont="1" applyFill="1" applyBorder="1" applyProtection="1"/>
    <xf numFmtId="0" fontId="23" fillId="20" borderId="121" xfId="0" applyFont="1" applyFill="1" applyBorder="1" applyProtection="1"/>
    <xf numFmtId="0" fontId="23" fillId="20" borderId="4" xfId="0" applyFont="1" applyFill="1" applyBorder="1" applyProtection="1"/>
    <xf numFmtId="0" fontId="23" fillId="20" borderId="65" xfId="0" applyFont="1" applyFill="1" applyBorder="1" applyProtection="1"/>
    <xf numFmtId="0" fontId="23" fillId="20" borderId="82" xfId="0" applyFont="1" applyFill="1" applyBorder="1" applyProtection="1"/>
    <xf numFmtId="0" fontId="23" fillId="20" borderId="53" xfId="0" applyFont="1" applyFill="1" applyBorder="1" applyProtection="1"/>
    <xf numFmtId="3" fontId="2" fillId="20" borderId="15" xfId="0" applyNumberFormat="1" applyFont="1" applyFill="1" applyBorder="1" applyProtection="1"/>
    <xf numFmtId="3" fontId="43" fillId="20" borderId="2" xfId="0" applyNumberFormat="1" applyFont="1" applyFill="1" applyBorder="1" applyProtection="1"/>
    <xf numFmtId="3" fontId="34" fillId="20" borderId="0" xfId="0" applyNumberFormat="1" applyFont="1" applyFill="1" applyBorder="1" applyAlignment="1" applyProtection="1"/>
    <xf numFmtId="3" fontId="2" fillId="20" borderId="28" xfId="0" applyNumberFormat="1" applyFont="1" applyFill="1" applyBorder="1" applyAlignment="1" applyProtection="1">
      <alignment horizontal="right"/>
    </xf>
    <xf numFmtId="3" fontId="43" fillId="20" borderId="154" xfId="0" applyNumberFormat="1" applyFont="1" applyFill="1" applyBorder="1" applyProtection="1"/>
    <xf numFmtId="3" fontId="2" fillId="21" borderId="28" xfId="0" applyNumberFormat="1" applyFont="1" applyFill="1" applyBorder="1" applyAlignment="1" applyProtection="1">
      <alignment horizontal="right"/>
    </xf>
    <xf numFmtId="3" fontId="42" fillId="20" borderId="4" xfId="0" applyNumberFormat="1" applyFont="1" applyFill="1" applyBorder="1" applyProtection="1"/>
    <xf numFmtId="3" fontId="42" fillId="20" borderId="82" xfId="0" applyNumberFormat="1" applyFont="1" applyFill="1" applyBorder="1" applyProtection="1"/>
    <xf numFmtId="3" fontId="89" fillId="20" borderId="82" xfId="0" applyNumberFormat="1" applyFont="1" applyFill="1" applyBorder="1" applyProtection="1"/>
    <xf numFmtId="3" fontId="46" fillId="20" borderId="2" xfId="0" applyNumberFormat="1" applyFont="1" applyFill="1" applyBorder="1" applyAlignment="1" applyProtection="1">
      <alignment horizontal="right"/>
    </xf>
    <xf numFmtId="3" fontId="2" fillId="20" borderId="45" xfId="0" applyNumberFormat="1" applyFont="1" applyFill="1" applyBorder="1" applyAlignment="1" applyProtection="1">
      <alignment horizontal="right"/>
    </xf>
    <xf numFmtId="3" fontId="43" fillId="20" borderId="91" xfId="0" applyNumberFormat="1" applyFont="1" applyFill="1" applyBorder="1" applyProtection="1"/>
    <xf numFmtId="3" fontId="43" fillId="20" borderId="155" xfId="0" applyNumberFormat="1" applyFont="1" applyFill="1" applyBorder="1" applyProtection="1"/>
    <xf numFmtId="3" fontId="102" fillId="20" borderId="4" xfId="0" applyNumberFormat="1" applyFont="1" applyFill="1" applyBorder="1" applyProtection="1"/>
    <xf numFmtId="3" fontId="102" fillId="20" borderId="82" xfId="0" applyNumberFormat="1" applyFont="1" applyFill="1" applyBorder="1" applyProtection="1"/>
    <xf numFmtId="3" fontId="47" fillId="20" borderId="4" xfId="0" applyNumberFormat="1" applyFont="1" applyFill="1" applyBorder="1" applyProtection="1"/>
    <xf numFmtId="3" fontId="40" fillId="20" borderId="30" xfId="0" applyNumberFormat="1" applyFont="1" applyFill="1" applyBorder="1" applyAlignment="1" applyProtection="1">
      <alignment horizontal="right"/>
    </xf>
    <xf numFmtId="3" fontId="42" fillId="20" borderId="91" xfId="0" applyNumberFormat="1" applyFont="1" applyFill="1" applyBorder="1" applyProtection="1"/>
    <xf numFmtId="3" fontId="40" fillId="20" borderId="105" xfId="0" applyNumberFormat="1" applyFont="1" applyFill="1" applyBorder="1" applyAlignment="1" applyProtection="1">
      <alignment horizontal="right"/>
    </xf>
    <xf numFmtId="3" fontId="42" fillId="20" borderId="179" xfId="0" applyNumberFormat="1" applyFont="1" applyFill="1" applyBorder="1" applyProtection="1"/>
    <xf numFmtId="3" fontId="42" fillId="20" borderId="39" xfId="0" applyNumberFormat="1" applyFont="1" applyFill="1" applyBorder="1" applyProtection="1"/>
    <xf numFmtId="3" fontId="89" fillId="20" borderId="39" xfId="0" applyNumberFormat="1" applyFont="1" applyFill="1" applyBorder="1" applyProtection="1"/>
    <xf numFmtId="3" fontId="3" fillId="20" borderId="30" xfId="0" applyNumberFormat="1" applyFont="1" applyFill="1" applyBorder="1" applyAlignment="1" applyProtection="1">
      <alignment horizontal="center"/>
    </xf>
    <xf numFmtId="3" fontId="3" fillId="20" borderId="49" xfId="0" applyNumberFormat="1" applyFont="1" applyFill="1" applyBorder="1" applyAlignment="1" applyProtection="1"/>
    <xf numFmtId="3" fontId="8" fillId="20" borderId="48" xfId="0" applyNumberFormat="1" applyFont="1" applyFill="1" applyBorder="1" applyAlignment="1" applyProtection="1">
      <alignment horizontal="left" vertical="top" wrapText="1"/>
    </xf>
    <xf numFmtId="3" fontId="8" fillId="20" borderId="165" xfId="0" applyNumberFormat="1" applyFont="1" applyFill="1" applyBorder="1" applyAlignment="1" applyProtection="1">
      <alignment horizontal="left" vertical="top" wrapText="1"/>
    </xf>
    <xf numFmtId="3" fontId="3" fillId="20" borderId="181" xfId="0" applyNumberFormat="1" applyFont="1" applyFill="1" applyBorder="1" applyAlignment="1" applyProtection="1">
      <alignment horizontal="center"/>
    </xf>
    <xf numFmtId="3" fontId="3" fillId="20" borderId="29" xfId="0" applyNumberFormat="1" applyFont="1" applyFill="1" applyBorder="1" applyAlignment="1" applyProtection="1">
      <alignment horizontal="center"/>
    </xf>
    <xf numFmtId="3" fontId="3" fillId="20" borderId="182" xfId="0" applyNumberFormat="1" applyFont="1" applyFill="1" applyBorder="1" applyAlignment="1" applyProtection="1"/>
    <xf numFmtId="3" fontId="8" fillId="20" borderId="183" xfId="0" applyNumberFormat="1" applyFont="1" applyFill="1" applyBorder="1" applyAlignment="1" applyProtection="1"/>
    <xf numFmtId="3" fontId="8" fillId="20" borderId="184" xfId="0" applyNumberFormat="1" applyFont="1" applyFill="1" applyBorder="1" applyAlignment="1" applyProtection="1"/>
    <xf numFmtId="3" fontId="3" fillId="20" borderId="45" xfId="0" applyNumberFormat="1" applyFont="1" applyFill="1" applyBorder="1" applyAlignment="1" applyProtection="1">
      <alignment horizontal="center"/>
    </xf>
    <xf numFmtId="3" fontId="5" fillId="20" borderId="77" xfId="0" applyNumberFormat="1" applyFont="1" applyFill="1" applyBorder="1" applyAlignment="1" applyProtection="1"/>
    <xf numFmtId="3" fontId="8" fillId="20" borderId="78" xfId="0" applyNumberFormat="1" applyFont="1" applyFill="1" applyBorder="1" applyAlignment="1" applyProtection="1"/>
    <xf numFmtId="3" fontId="8" fillId="20" borderId="178" xfId="0" applyNumberFormat="1" applyFont="1" applyFill="1" applyBorder="1" applyAlignment="1" applyProtection="1"/>
    <xf numFmtId="3" fontId="3" fillId="20" borderId="185" xfId="0" applyNumberFormat="1" applyFont="1" applyFill="1" applyBorder="1" applyAlignment="1" applyProtection="1">
      <alignment vertical="center"/>
    </xf>
    <xf numFmtId="3" fontId="8" fillId="20" borderId="185" xfId="0" applyNumberFormat="1" applyFont="1" applyFill="1" applyBorder="1" applyProtection="1"/>
    <xf numFmtId="3" fontId="3" fillId="20" borderId="109" xfId="0" applyNumberFormat="1" applyFont="1" applyFill="1" applyBorder="1" applyAlignment="1" applyProtection="1">
      <alignment vertical="center"/>
    </xf>
    <xf numFmtId="3" fontId="8" fillId="20" borderId="75" xfId="0" applyNumberFormat="1" applyFont="1" applyFill="1" applyBorder="1" applyProtection="1"/>
    <xf numFmtId="3" fontId="8" fillId="20" borderId="92" xfId="0" applyNumberFormat="1" applyFont="1" applyFill="1" applyBorder="1" applyProtection="1"/>
    <xf numFmtId="3" fontId="3" fillId="20" borderId="186" xfId="0" applyNumberFormat="1" applyFont="1" applyFill="1" applyBorder="1" applyAlignment="1" applyProtection="1"/>
    <xf numFmtId="3" fontId="3" fillId="20" borderId="109" xfId="0" applyNumberFormat="1" applyFont="1" applyFill="1" applyBorder="1" applyProtection="1"/>
    <xf numFmtId="3" fontId="8" fillId="20" borderId="109" xfId="0" applyNumberFormat="1" applyFont="1" applyFill="1" applyBorder="1" applyProtection="1"/>
    <xf numFmtId="3" fontId="8" fillId="20" borderId="78" xfId="0" applyNumberFormat="1" applyFont="1" applyFill="1" applyBorder="1" applyProtection="1"/>
    <xf numFmtId="3" fontId="8" fillId="20" borderId="178" xfId="0" applyNumberFormat="1" applyFont="1" applyFill="1" applyBorder="1" applyProtection="1"/>
    <xf numFmtId="0" fontId="3" fillId="20" borderId="60" xfId="0" applyFont="1" applyFill="1" applyBorder="1" applyAlignment="1" applyProtection="1">
      <alignment horizontal="left"/>
    </xf>
    <xf numFmtId="0" fontId="3" fillId="20" borderId="124" xfId="0" applyFont="1" applyFill="1" applyBorder="1" applyProtection="1"/>
    <xf numFmtId="0" fontId="3" fillId="20" borderId="187" xfId="0" applyFont="1" applyFill="1" applyBorder="1" applyAlignment="1" applyProtection="1">
      <alignment vertical="top" wrapText="1"/>
    </xf>
    <xf numFmtId="0" fontId="3" fillId="20" borderId="113" xfId="0" applyFont="1" applyFill="1" applyBorder="1" applyAlignment="1" applyProtection="1">
      <alignment horizontal="left" vertical="top" wrapText="1"/>
    </xf>
    <xf numFmtId="0" fontId="3" fillId="20" borderId="136" xfId="0" applyFont="1" applyFill="1" applyBorder="1" applyAlignment="1" applyProtection="1">
      <alignment horizontal="left" vertical="top" wrapText="1"/>
    </xf>
    <xf numFmtId="0" fontId="3" fillId="20" borderId="187" xfId="0" applyFont="1" applyFill="1" applyBorder="1" applyAlignment="1" applyProtection="1">
      <alignment horizontal="left" vertical="top" wrapText="1"/>
    </xf>
    <xf numFmtId="0" fontId="3" fillId="20" borderId="60" xfId="0" applyFont="1" applyFill="1" applyBorder="1" applyProtection="1"/>
    <xf numFmtId="0" fontId="7" fillId="20" borderId="90" xfId="0" applyFont="1" applyFill="1" applyBorder="1" applyProtection="1"/>
    <xf numFmtId="0" fontId="3" fillId="20" borderId="44" xfId="0" applyFont="1" applyFill="1" applyBorder="1" applyProtection="1"/>
    <xf numFmtId="0" fontId="3" fillId="20" borderId="169" xfId="0" applyFont="1" applyFill="1" applyBorder="1" applyAlignment="1" applyProtection="1">
      <alignment horizontal="left" vertical="top" wrapText="1"/>
    </xf>
    <xf numFmtId="0" fontId="3" fillId="20" borderId="127" xfId="0" applyFont="1" applyFill="1" applyBorder="1" applyProtection="1"/>
    <xf numFmtId="0" fontId="5" fillId="20" borderId="127" xfId="0" applyFont="1" applyFill="1" applyBorder="1" applyProtection="1"/>
    <xf numFmtId="0" fontId="3" fillId="20" borderId="16" xfId="0" applyFont="1" applyFill="1" applyBorder="1" applyProtection="1"/>
    <xf numFmtId="0" fontId="3" fillId="20" borderId="64" xfId="0" applyFont="1" applyFill="1" applyBorder="1" applyProtection="1"/>
    <xf numFmtId="0" fontId="3" fillId="20" borderId="68" xfId="0" applyFont="1" applyFill="1" applyBorder="1" applyProtection="1"/>
    <xf numFmtId="0" fontId="3" fillId="20" borderId="147" xfId="0" applyFont="1" applyFill="1" applyBorder="1" applyProtection="1"/>
    <xf numFmtId="0" fontId="3" fillId="20" borderId="114" xfId="0" applyFont="1" applyFill="1" applyBorder="1" applyProtection="1"/>
    <xf numFmtId="0" fontId="44" fillId="20" borderId="177" xfId="0" applyFont="1" applyFill="1" applyBorder="1" applyProtection="1"/>
    <xf numFmtId="0" fontId="5" fillId="20" borderId="101" xfId="0" applyFont="1" applyFill="1" applyBorder="1" applyProtection="1"/>
    <xf numFmtId="0" fontId="5" fillId="20" borderId="16" xfId="0" applyFont="1" applyFill="1" applyBorder="1" applyProtection="1"/>
    <xf numFmtId="49" fontId="7" fillId="20" borderId="127" xfId="0" applyNumberFormat="1" applyFont="1" applyFill="1" applyBorder="1" applyAlignment="1" applyProtection="1">
      <alignment horizontal="left"/>
    </xf>
    <xf numFmtId="3" fontId="35" fillId="20" borderId="15" xfId="0" applyNumberFormat="1" applyFont="1" applyFill="1" applyBorder="1" applyAlignment="1" applyProtection="1"/>
    <xf numFmtId="3" fontId="35" fillId="20" borderId="56" xfId="0" applyNumberFormat="1" applyFont="1" applyFill="1" applyBorder="1" applyAlignment="1" applyProtection="1"/>
    <xf numFmtId="49" fontId="5" fillId="20" borderId="154" xfId="0" applyNumberFormat="1" applyFont="1" applyFill="1" applyBorder="1" applyAlignment="1" applyProtection="1"/>
    <xf numFmtId="49" fontId="5" fillId="20" borderId="0" xfId="0" applyNumberFormat="1" applyFont="1" applyFill="1" applyBorder="1" applyAlignment="1" applyProtection="1"/>
    <xf numFmtId="49" fontId="5" fillId="20" borderId="123" xfId="0" applyNumberFormat="1" applyFont="1" applyFill="1" applyBorder="1" applyAlignment="1" applyProtection="1"/>
    <xf numFmtId="49" fontId="5" fillId="20" borderId="27" xfId="0" applyNumberFormat="1" applyFont="1" applyFill="1" applyBorder="1" applyAlignment="1" applyProtection="1"/>
    <xf numFmtId="3" fontId="2" fillId="20" borderId="15" xfId="0" applyNumberFormat="1" applyFont="1" applyFill="1" applyBorder="1" applyAlignment="1" applyProtection="1">
      <alignment horizontal="right"/>
    </xf>
    <xf numFmtId="3" fontId="10" fillId="20" borderId="15" xfId="0" applyNumberFormat="1" applyFont="1" applyFill="1" applyBorder="1" applyProtection="1"/>
    <xf numFmtId="3" fontId="10" fillId="20" borderId="56" xfId="0" applyNumberFormat="1" applyFont="1" applyFill="1" applyBorder="1" applyProtection="1"/>
    <xf numFmtId="3" fontId="10" fillId="20" borderId="0" xfId="0" applyNumberFormat="1" applyFont="1" applyFill="1" applyBorder="1" applyProtection="1"/>
    <xf numFmtId="49" fontId="3" fillId="20" borderId="39" xfId="0" applyNumberFormat="1" applyFont="1" applyFill="1" applyBorder="1" applyAlignment="1" applyProtection="1"/>
    <xf numFmtId="49" fontId="5" fillId="20" borderId="11" xfId="0" applyNumberFormat="1" applyFont="1" applyFill="1" applyBorder="1" applyAlignment="1" applyProtection="1"/>
    <xf numFmtId="3" fontId="35" fillId="20" borderId="60" xfId="0" applyNumberFormat="1" applyFont="1" applyFill="1" applyBorder="1" applyAlignment="1" applyProtection="1"/>
    <xf numFmtId="49" fontId="5" fillId="20" borderId="57" xfId="0" applyNumberFormat="1" applyFont="1" applyFill="1" applyBorder="1" applyAlignment="1" applyProtection="1"/>
    <xf numFmtId="3" fontId="35" fillId="20" borderId="0" xfId="0" applyNumberFormat="1" applyFont="1" applyFill="1" applyBorder="1" applyAlignment="1" applyProtection="1"/>
    <xf numFmtId="3" fontId="2" fillId="20" borderId="68" xfId="0" applyNumberFormat="1" applyFont="1" applyFill="1" applyBorder="1" applyAlignment="1" applyProtection="1">
      <alignment horizontal="right"/>
    </xf>
    <xf numFmtId="3" fontId="35" fillId="20" borderId="57" xfId="0" applyNumberFormat="1" applyFont="1" applyFill="1" applyBorder="1" applyAlignment="1" applyProtection="1"/>
    <xf numFmtId="3" fontId="35" fillId="20" borderId="15" xfId="0" applyNumberFormat="1" applyFont="1" applyFill="1" applyBorder="1" applyProtection="1"/>
    <xf numFmtId="49" fontId="5" fillId="20" borderId="15" xfId="0" applyNumberFormat="1" applyFont="1" applyFill="1" applyBorder="1" applyAlignment="1" applyProtection="1"/>
    <xf numFmtId="3" fontId="2" fillId="26" borderId="17" xfId="0" applyNumberFormat="1" applyFont="1" applyFill="1" applyBorder="1" applyAlignment="1" applyProtection="1">
      <alignment horizontal="right"/>
    </xf>
    <xf numFmtId="49" fontId="3" fillId="20" borderId="134" xfId="0" applyNumberFormat="1" applyFont="1" applyFill="1" applyBorder="1" applyAlignment="1" applyProtection="1">
      <alignment horizontal="left"/>
    </xf>
    <xf numFmtId="0" fontId="5" fillId="20" borderId="64" xfId="0" applyFont="1" applyFill="1" applyBorder="1" applyProtection="1"/>
    <xf numFmtId="49" fontId="3" fillId="20" borderId="22" xfId="0" applyNumberFormat="1" applyFont="1" applyFill="1" applyBorder="1" applyAlignment="1" applyProtection="1">
      <alignment horizontal="left"/>
    </xf>
    <xf numFmtId="49" fontId="3" fillId="20" borderId="92" xfId="0" applyNumberFormat="1" applyFont="1" applyFill="1" applyBorder="1" applyProtection="1"/>
    <xf numFmtId="49" fontId="3" fillId="20" borderId="92" xfId="0" applyNumberFormat="1" applyFont="1" applyFill="1" applyBorder="1" applyAlignment="1" applyProtection="1">
      <alignment wrapText="1"/>
    </xf>
    <xf numFmtId="49" fontId="3" fillId="20" borderId="21" xfId="0" applyNumberFormat="1" applyFont="1" applyFill="1" applyBorder="1" applyAlignment="1" applyProtection="1">
      <alignment horizontal="left"/>
    </xf>
    <xf numFmtId="49" fontId="3" fillId="20" borderId="55" xfId="0" applyNumberFormat="1" applyFont="1" applyFill="1" applyBorder="1" applyAlignment="1" applyProtection="1">
      <alignment wrapText="1"/>
    </xf>
    <xf numFmtId="49" fontId="3" fillId="20" borderId="23" xfId="0" applyNumberFormat="1" applyFont="1" applyFill="1" applyBorder="1" applyAlignment="1" applyProtection="1">
      <alignment horizontal="left"/>
    </xf>
    <xf numFmtId="0" fontId="5" fillId="20" borderId="48" xfId="0" applyFont="1" applyFill="1" applyBorder="1" applyProtection="1"/>
    <xf numFmtId="49" fontId="3" fillId="20" borderId="76" xfId="0" applyNumberFormat="1" applyFont="1" applyFill="1" applyBorder="1" applyProtection="1"/>
    <xf numFmtId="49" fontId="3" fillId="20" borderId="65" xfId="0" applyNumberFormat="1" applyFont="1" applyFill="1" applyBorder="1" applyAlignment="1" applyProtection="1">
      <alignment wrapText="1"/>
    </xf>
    <xf numFmtId="0" fontId="5" fillId="20" borderId="165" xfId="0" applyFont="1" applyFill="1" applyBorder="1" applyProtection="1"/>
    <xf numFmtId="49" fontId="3" fillId="20" borderId="55" xfId="0" applyNumberFormat="1" applyFont="1" applyFill="1" applyBorder="1" applyProtection="1"/>
    <xf numFmtId="49" fontId="3" fillId="20" borderId="6" xfId="0" applyNumberFormat="1" applyFont="1" applyFill="1" applyBorder="1" applyAlignment="1" applyProtection="1">
      <alignment wrapText="1"/>
    </xf>
    <xf numFmtId="49" fontId="3" fillId="20" borderId="3" xfId="0" applyNumberFormat="1" applyFont="1" applyFill="1" applyBorder="1" applyAlignment="1" applyProtection="1">
      <alignment wrapText="1"/>
    </xf>
    <xf numFmtId="49" fontId="3" fillId="20" borderId="177" xfId="0" applyNumberFormat="1" applyFont="1" applyFill="1" applyBorder="1" applyAlignment="1" applyProtection="1">
      <alignment wrapText="1"/>
    </xf>
    <xf numFmtId="0" fontId="5" fillId="20" borderId="188" xfId="0" applyFont="1" applyFill="1" applyBorder="1" applyProtection="1"/>
    <xf numFmtId="49" fontId="3" fillId="20" borderId="12" xfId="0" applyNumberFormat="1" applyFont="1" applyFill="1" applyBorder="1" applyProtection="1"/>
    <xf numFmtId="49" fontId="3" fillId="20" borderId="54" xfId="0" applyNumberFormat="1" applyFont="1" applyFill="1" applyBorder="1" applyProtection="1"/>
    <xf numFmtId="49" fontId="3" fillId="20" borderId="54" xfId="0" applyNumberFormat="1" applyFont="1" applyFill="1" applyBorder="1" applyAlignment="1" applyProtection="1">
      <alignment wrapText="1"/>
    </xf>
    <xf numFmtId="49" fontId="3" fillId="20" borderId="6" xfId="11" applyNumberFormat="1" applyFont="1" applyFill="1" applyBorder="1" applyAlignment="1" applyProtection="1"/>
    <xf numFmtId="49" fontId="3" fillId="20" borderId="130" xfId="0" applyNumberFormat="1" applyFont="1" applyFill="1" applyBorder="1" applyAlignment="1" applyProtection="1">
      <alignment horizontal="left"/>
    </xf>
    <xf numFmtId="49" fontId="3" fillId="20" borderId="171" xfId="11" applyNumberFormat="1" applyFont="1" applyFill="1" applyBorder="1" applyAlignment="1" applyProtection="1"/>
    <xf numFmtId="49" fontId="3" fillId="20" borderId="127" xfId="0" applyNumberFormat="1" applyFont="1" applyFill="1" applyBorder="1" applyAlignment="1" applyProtection="1">
      <alignment horizontal="left"/>
    </xf>
    <xf numFmtId="49" fontId="3" fillId="20" borderId="56" xfId="11" applyNumberFormat="1" applyFont="1" applyFill="1" applyBorder="1" applyAlignment="1" applyProtection="1"/>
    <xf numFmtId="49" fontId="3" fillId="20" borderId="168" xfId="11" applyNumberFormat="1" applyFont="1" applyFill="1" applyBorder="1" applyAlignment="1" applyProtection="1"/>
    <xf numFmtId="49" fontId="3" fillId="20" borderId="177" xfId="11" applyNumberFormat="1" applyFont="1" applyFill="1" applyBorder="1" applyAlignment="1" applyProtection="1"/>
    <xf numFmtId="49" fontId="3" fillId="20" borderId="6" xfId="0" applyNumberFormat="1" applyFont="1" applyFill="1" applyBorder="1" applyProtection="1"/>
    <xf numFmtId="49" fontId="3" fillId="20" borderId="92" xfId="11" applyNumberFormat="1" applyFont="1" applyFill="1" applyBorder="1" applyAlignment="1" applyProtection="1"/>
    <xf numFmtId="49" fontId="3" fillId="20" borderId="24" xfId="0" applyNumberFormat="1" applyFont="1" applyFill="1" applyBorder="1" applyAlignment="1" applyProtection="1">
      <alignment horizontal="left"/>
    </xf>
    <xf numFmtId="49" fontId="3" fillId="20" borderId="72" xfId="11" applyNumberFormat="1" applyFont="1" applyFill="1" applyBorder="1" applyAlignment="1" applyProtection="1"/>
    <xf numFmtId="49" fontId="3" fillId="20" borderId="12" xfId="11" applyNumberFormat="1" applyFont="1" applyFill="1" applyBorder="1" applyAlignment="1" applyProtection="1"/>
    <xf numFmtId="0" fontId="3" fillId="20" borderId="0" xfId="0" applyFont="1" applyFill="1" applyBorder="1" applyAlignment="1" applyProtection="1">
      <alignment horizontal="center"/>
    </xf>
    <xf numFmtId="0" fontId="2" fillId="20" borderId="39" xfId="0" applyFont="1" applyFill="1" applyBorder="1" applyProtection="1"/>
    <xf numFmtId="0" fontId="3" fillId="20" borderId="58" xfId="0" applyFont="1" applyFill="1" applyBorder="1" applyProtection="1"/>
    <xf numFmtId="0" fontId="9" fillId="20" borderId="39" xfId="0" applyFont="1" applyFill="1" applyBorder="1" applyProtection="1"/>
    <xf numFmtId="0" fontId="2" fillId="20" borderId="0" xfId="0" applyFont="1" applyFill="1" applyBorder="1" applyProtection="1"/>
    <xf numFmtId="0" fontId="9" fillId="20" borderId="144" xfId="0" applyFont="1" applyFill="1" applyBorder="1" applyProtection="1"/>
    <xf numFmtId="0" fontId="7" fillId="20" borderId="124" xfId="0" applyFont="1" applyFill="1" applyBorder="1" applyProtection="1"/>
    <xf numFmtId="0" fontId="2" fillId="20" borderId="124" xfId="0" applyFont="1" applyFill="1" applyBorder="1" applyProtection="1"/>
    <xf numFmtId="0" fontId="7" fillId="20" borderId="0" xfId="0" applyFont="1" applyFill="1" applyBorder="1" applyProtection="1"/>
    <xf numFmtId="0" fontId="7" fillId="20" borderId="0" xfId="0" applyFont="1" applyFill="1" applyBorder="1" applyAlignment="1" applyProtection="1">
      <alignment horizontal="left" vertical="top" wrapText="1"/>
    </xf>
    <xf numFmtId="0" fontId="2" fillId="20" borderId="0" xfId="0" applyFont="1" applyFill="1" applyBorder="1" applyAlignment="1" applyProtection="1">
      <alignment horizontal="left" vertical="top" wrapText="1"/>
    </xf>
    <xf numFmtId="49" fontId="3" fillId="20" borderId="36" xfId="5" applyNumberFormat="1" applyFont="1" applyFill="1" applyBorder="1" applyAlignment="1" applyProtection="1">
      <alignment horizontal="left"/>
    </xf>
    <xf numFmtId="0" fontId="3" fillId="20" borderId="118" xfId="5" applyFont="1" applyFill="1" applyBorder="1" applyAlignment="1" applyProtection="1"/>
    <xf numFmtId="0" fontId="3" fillId="20" borderId="120" xfId="5" applyFont="1" applyFill="1" applyBorder="1" applyProtection="1"/>
    <xf numFmtId="0" fontId="3" fillId="20" borderId="124" xfId="5" applyFont="1" applyFill="1" applyBorder="1" applyProtection="1"/>
    <xf numFmtId="0" fontId="3" fillId="20" borderId="95" xfId="5" applyFont="1" applyFill="1" applyBorder="1" applyProtection="1"/>
    <xf numFmtId="49" fontId="3" fillId="20" borderId="58" xfId="5" applyNumberFormat="1" applyFont="1" applyFill="1" applyBorder="1" applyAlignment="1" applyProtection="1">
      <alignment horizontal="left" vertical="top"/>
    </xf>
    <xf numFmtId="0" fontId="3" fillId="20" borderId="15" xfId="5" applyFont="1" applyFill="1" applyBorder="1" applyProtection="1"/>
    <xf numFmtId="0" fontId="22" fillId="20" borderId="161" xfId="5" applyFont="1" applyFill="1" applyBorder="1" applyProtection="1"/>
    <xf numFmtId="0" fontId="22" fillId="20" borderId="68" xfId="5" applyFont="1" applyFill="1" applyBorder="1" applyProtection="1"/>
    <xf numFmtId="3" fontId="3" fillId="20" borderId="166" xfId="5" applyNumberFormat="1" applyFont="1" applyFill="1" applyBorder="1" applyAlignment="1" applyProtection="1">
      <alignment wrapText="1"/>
    </xf>
    <xf numFmtId="3" fontId="3" fillId="20" borderId="159" xfId="5" applyNumberFormat="1" applyFont="1" applyFill="1" applyBorder="1" applyProtection="1"/>
    <xf numFmtId="0" fontId="3" fillId="20" borderId="159" xfId="5" applyFont="1" applyFill="1" applyBorder="1" applyProtection="1"/>
    <xf numFmtId="49" fontId="3" fillId="20" borderId="58" xfId="5" applyNumberFormat="1" applyFont="1" applyFill="1" applyBorder="1" applyAlignment="1" applyProtection="1">
      <alignment horizontal="left"/>
    </xf>
    <xf numFmtId="0" fontId="3" fillId="20" borderId="56" xfId="5" applyFont="1" applyFill="1" applyBorder="1" applyProtection="1"/>
    <xf numFmtId="3" fontId="3" fillId="20" borderId="16" xfId="5" applyNumberFormat="1" applyFont="1" applyFill="1" applyBorder="1" applyProtection="1"/>
    <xf numFmtId="49" fontId="7" fillId="20" borderId="58" xfId="5" applyNumberFormat="1" applyFont="1" applyFill="1" applyBorder="1" applyAlignment="1" applyProtection="1">
      <alignment horizontal="left"/>
    </xf>
    <xf numFmtId="0" fontId="3" fillId="20" borderId="168" xfId="5" applyFont="1" applyFill="1" applyBorder="1" applyProtection="1"/>
    <xf numFmtId="0" fontId="3" fillId="20" borderId="159" xfId="5" applyFont="1" applyFill="1" applyBorder="1" applyAlignment="1" applyProtection="1">
      <alignment horizontal="left"/>
    </xf>
    <xf numFmtId="0" fontId="3" fillId="20" borderId="0" xfId="5" applyFont="1" applyFill="1" applyBorder="1" applyProtection="1"/>
    <xf numFmtId="0" fontId="5" fillId="20" borderId="168" xfId="5" applyFont="1" applyFill="1" applyBorder="1" applyProtection="1"/>
    <xf numFmtId="49" fontId="5" fillId="20" borderId="58" xfId="5" applyNumberFormat="1" applyFont="1" applyFill="1" applyBorder="1" applyAlignment="1" applyProtection="1">
      <alignment horizontal="left"/>
    </xf>
    <xf numFmtId="0" fontId="7" fillId="20" borderId="176" xfId="5" applyFont="1" applyFill="1" applyBorder="1" applyProtection="1"/>
    <xf numFmtId="0" fontId="3" fillId="20" borderId="191" xfId="5" applyFont="1" applyFill="1" applyBorder="1" applyProtection="1"/>
    <xf numFmtId="0" fontId="3" fillId="20" borderId="176" xfId="5" applyFont="1" applyFill="1" applyBorder="1" applyProtection="1"/>
    <xf numFmtId="0" fontId="5" fillId="20" borderId="35" xfId="5" applyFont="1" applyFill="1" applyBorder="1" applyAlignment="1" applyProtection="1">
      <alignment horizontal="left"/>
    </xf>
    <xf numFmtId="0" fontId="5" fillId="20" borderId="35" xfId="5" applyFont="1" applyFill="1" applyBorder="1" applyProtection="1"/>
    <xf numFmtId="0" fontId="3" fillId="20" borderId="2" xfId="5" applyFont="1" applyFill="1" applyBorder="1" applyAlignment="1" applyProtection="1">
      <alignment horizontal="left"/>
    </xf>
    <xf numFmtId="0" fontId="3" fillId="20" borderId="2" xfId="5" applyFont="1" applyFill="1" applyBorder="1" applyProtection="1"/>
    <xf numFmtId="0" fontId="3" fillId="20" borderId="5" xfId="5" applyFont="1" applyFill="1" applyBorder="1" applyProtection="1"/>
    <xf numFmtId="1" fontId="5" fillId="20" borderId="50" xfId="5" applyNumberFormat="1" applyFont="1" applyFill="1" applyBorder="1" applyAlignment="1" applyProtection="1">
      <alignment horizontal="left"/>
    </xf>
    <xf numFmtId="0" fontId="5" fillId="20" borderId="5" xfId="5" applyFont="1" applyFill="1" applyBorder="1" applyProtection="1"/>
    <xf numFmtId="1" fontId="3" fillId="20" borderId="51" xfId="5" applyNumberFormat="1" applyFont="1" applyFill="1" applyBorder="1" applyAlignment="1" applyProtection="1">
      <alignment horizontal="left"/>
    </xf>
    <xf numFmtId="0" fontId="5" fillId="20" borderId="2" xfId="5" applyFont="1" applyFill="1" applyBorder="1" applyAlignment="1" applyProtection="1">
      <alignment horizontal="left"/>
    </xf>
    <xf numFmtId="0" fontId="5" fillId="20" borderId="2" xfId="5" applyFont="1" applyFill="1" applyBorder="1" applyAlignment="1" applyProtection="1">
      <alignment wrapText="1"/>
    </xf>
    <xf numFmtId="0" fontId="5" fillId="20" borderId="5" xfId="5" applyFont="1" applyFill="1" applyBorder="1" applyAlignment="1" applyProtection="1">
      <alignment wrapText="1"/>
    </xf>
    <xf numFmtId="1" fontId="3" fillId="20" borderId="51" xfId="5" applyNumberFormat="1" applyFont="1" applyFill="1" applyBorder="1" applyProtection="1"/>
    <xf numFmtId="1" fontId="5" fillId="20" borderId="192" xfId="5" applyNumberFormat="1" applyFont="1" applyFill="1" applyBorder="1" applyAlignment="1" applyProtection="1">
      <alignment horizontal="left"/>
    </xf>
    <xf numFmtId="0" fontId="5" fillId="20" borderId="9" xfId="5" applyFont="1" applyFill="1" applyBorder="1" applyProtection="1"/>
    <xf numFmtId="1" fontId="3" fillId="20" borderId="50" xfId="5" applyNumberFormat="1" applyFont="1" applyFill="1" applyBorder="1" applyAlignment="1" applyProtection="1">
      <alignment horizontal="left"/>
    </xf>
    <xf numFmtId="49" fontId="3" fillId="20" borderId="5" xfId="5" applyNumberFormat="1" applyFont="1" applyFill="1" applyBorder="1" applyAlignment="1" applyProtection="1">
      <alignment horizontal="left"/>
    </xf>
    <xf numFmtId="0" fontId="3" fillId="20" borderId="6" xfId="5" applyFont="1" applyFill="1" applyBorder="1" applyAlignment="1" applyProtection="1">
      <alignment wrapText="1"/>
    </xf>
    <xf numFmtId="3" fontId="2" fillId="20" borderId="136" xfId="5" applyNumberFormat="1" applyFont="1" applyFill="1" applyBorder="1" applyProtection="1"/>
    <xf numFmtId="3" fontId="2" fillId="20" borderId="5" xfId="5" applyNumberFormat="1" applyFont="1" applyFill="1" applyBorder="1" applyProtection="1"/>
    <xf numFmtId="3" fontId="43" fillId="20" borderId="5" xfId="5" applyNumberFormat="1" applyFont="1" applyFill="1" applyBorder="1" applyAlignment="1" applyProtection="1">
      <alignment horizontal="right"/>
    </xf>
    <xf numFmtId="3" fontId="43" fillId="20" borderId="2" xfId="5" applyNumberFormat="1" applyFont="1" applyFill="1" applyBorder="1" applyAlignment="1" applyProtection="1">
      <alignment horizontal="right"/>
    </xf>
    <xf numFmtId="3" fontId="43" fillId="20" borderId="15" xfId="5" applyNumberFormat="1" applyFont="1" applyFill="1" applyBorder="1" applyAlignment="1" applyProtection="1">
      <alignment horizontal="right"/>
    </xf>
    <xf numFmtId="3" fontId="40" fillId="20" borderId="11" xfId="5" applyNumberFormat="1" applyFont="1" applyFill="1" applyBorder="1" applyAlignment="1" applyProtection="1">
      <alignment horizontal="right"/>
    </xf>
    <xf numFmtId="3" fontId="40" fillId="20" borderId="171" xfId="5" applyNumberFormat="1" applyFont="1" applyFill="1" applyBorder="1" applyAlignment="1" applyProtection="1">
      <alignment horizontal="right"/>
    </xf>
    <xf numFmtId="3" fontId="40" fillId="20" borderId="0" xfId="5" applyNumberFormat="1" applyFont="1" applyFill="1" applyBorder="1" applyAlignment="1" applyProtection="1">
      <alignment horizontal="right"/>
    </xf>
    <xf numFmtId="3" fontId="40" fillId="20" borderId="86" xfId="5" applyNumberFormat="1" applyFont="1" applyFill="1" applyBorder="1" applyAlignment="1" applyProtection="1">
      <alignment horizontal="right"/>
    </xf>
    <xf numFmtId="3" fontId="40" fillId="20" borderId="39" xfId="5" applyNumberFormat="1" applyFont="1" applyFill="1" applyBorder="1" applyAlignment="1" applyProtection="1">
      <alignment horizontal="right"/>
    </xf>
    <xf numFmtId="3" fontId="2" fillId="20" borderId="9" xfId="5" applyNumberFormat="1" applyFont="1" applyFill="1" applyBorder="1" applyProtection="1"/>
    <xf numFmtId="3" fontId="43" fillId="20" borderId="9" xfId="5" applyNumberFormat="1" applyFont="1" applyFill="1" applyBorder="1" applyProtection="1"/>
    <xf numFmtId="3" fontId="2" fillId="20" borderId="2" xfId="5" applyNumberFormat="1" applyFont="1" applyFill="1" applyBorder="1" applyAlignment="1" applyProtection="1">
      <alignment horizontal="right"/>
    </xf>
    <xf numFmtId="3" fontId="2" fillId="20" borderId="5" xfId="5" applyNumberFormat="1" applyFont="1" applyFill="1" applyBorder="1" applyAlignment="1" applyProtection="1">
      <alignment horizontal="right"/>
    </xf>
    <xf numFmtId="3" fontId="2" fillId="20" borderId="9" xfId="5" applyNumberFormat="1" applyFont="1" applyFill="1" applyBorder="1" applyAlignment="1" applyProtection="1">
      <alignment horizontal="right"/>
    </xf>
    <xf numFmtId="0" fontId="2" fillId="20" borderId="0" xfId="5" applyFont="1" applyFill="1" applyProtection="1"/>
    <xf numFmtId="0" fontId="22" fillId="20" borderId="0" xfId="5" applyFill="1" applyProtection="1"/>
    <xf numFmtId="3" fontId="35" fillId="20" borderId="0" xfId="5" applyNumberFormat="1" applyFont="1" applyFill="1" applyBorder="1" applyProtection="1"/>
    <xf numFmtId="0" fontId="22" fillId="20" borderId="0" xfId="5" applyFont="1" applyFill="1" applyProtection="1"/>
    <xf numFmtId="0" fontId="2" fillId="20" borderId="0" xfId="5" applyFont="1" applyFill="1" applyBorder="1" applyProtection="1"/>
    <xf numFmtId="0" fontId="3" fillId="20" borderId="118" xfId="5" applyFont="1" applyFill="1" applyBorder="1" applyProtection="1"/>
    <xf numFmtId="0" fontId="3" fillId="20" borderId="121" xfId="5" applyFont="1" applyFill="1" applyBorder="1" applyProtection="1"/>
    <xf numFmtId="0" fontId="3" fillId="20" borderId="154" xfId="5" applyFont="1" applyFill="1" applyBorder="1" applyProtection="1"/>
    <xf numFmtId="0" fontId="3" fillId="20" borderId="57" xfId="5" applyFont="1" applyFill="1" applyBorder="1" applyProtection="1"/>
    <xf numFmtId="1" fontId="5" fillId="20" borderId="193" xfId="5" applyNumberFormat="1" applyFont="1" applyFill="1" applyBorder="1" applyAlignment="1" applyProtection="1">
      <alignment horizontal="left"/>
    </xf>
    <xf numFmtId="0" fontId="5" fillId="20" borderId="167" xfId="5" applyFont="1" applyFill="1" applyBorder="1" applyProtection="1"/>
    <xf numFmtId="0" fontId="3" fillId="20" borderId="3" xfId="5" applyFont="1" applyFill="1" applyBorder="1" applyProtection="1"/>
    <xf numFmtId="0" fontId="3" fillId="20" borderId="6" xfId="5" applyFont="1" applyFill="1" applyBorder="1" applyProtection="1"/>
    <xf numFmtId="1" fontId="3" fillId="20" borderId="142" xfId="5" applyNumberFormat="1" applyFont="1" applyFill="1" applyBorder="1" applyAlignment="1" applyProtection="1">
      <alignment horizontal="left"/>
    </xf>
    <xf numFmtId="1" fontId="5" fillId="20" borderId="58" xfId="5" applyNumberFormat="1" applyFont="1" applyFill="1" applyBorder="1" applyAlignment="1" applyProtection="1">
      <alignment horizontal="left"/>
    </xf>
    <xf numFmtId="1" fontId="3" fillId="20" borderId="58" xfId="5" applyNumberFormat="1" applyFont="1" applyFill="1" applyBorder="1" applyAlignment="1" applyProtection="1">
      <alignment horizontal="left"/>
    </xf>
    <xf numFmtId="1" fontId="5" fillId="20" borderId="125" xfId="5" applyNumberFormat="1" applyFont="1" applyFill="1" applyBorder="1" applyAlignment="1" applyProtection="1">
      <alignment horizontal="left"/>
    </xf>
    <xf numFmtId="0" fontId="5" fillId="20" borderId="114" xfId="5" applyFont="1" applyFill="1" applyBorder="1" applyProtection="1"/>
    <xf numFmtId="0" fontId="3" fillId="20" borderId="72" xfId="5" applyFont="1" applyFill="1" applyBorder="1" applyProtection="1"/>
    <xf numFmtId="3" fontId="3" fillId="20" borderId="56" xfId="0" applyNumberFormat="1" applyFont="1" applyFill="1" applyBorder="1" applyProtection="1"/>
    <xf numFmtId="49" fontId="7" fillId="20" borderId="58" xfId="0" applyNumberFormat="1" applyFont="1" applyFill="1" applyBorder="1" applyAlignment="1" applyProtection="1">
      <alignment horizontal="left"/>
    </xf>
    <xf numFmtId="49" fontId="12" fillId="20" borderId="58" xfId="0" applyNumberFormat="1" applyFont="1" applyFill="1" applyBorder="1" applyAlignment="1" applyProtection="1">
      <alignment horizontal="left"/>
    </xf>
    <xf numFmtId="1" fontId="5" fillId="20" borderId="134" xfId="0" applyNumberFormat="1" applyFont="1" applyFill="1" applyBorder="1" applyAlignment="1" applyProtection="1">
      <alignment horizontal="left"/>
    </xf>
    <xf numFmtId="1" fontId="3" fillId="20" borderId="22" xfId="0" applyNumberFormat="1" applyFont="1" applyFill="1" applyBorder="1" applyAlignment="1" applyProtection="1">
      <alignment horizontal="left"/>
    </xf>
    <xf numFmtId="1" fontId="5" fillId="20" borderId="22" xfId="0" applyNumberFormat="1" applyFont="1" applyFill="1" applyBorder="1" applyAlignment="1" applyProtection="1">
      <alignment horizontal="left"/>
    </xf>
    <xf numFmtId="1" fontId="5" fillId="20" borderId="130" xfId="0" applyNumberFormat="1" applyFont="1" applyFill="1" applyBorder="1" applyAlignment="1" applyProtection="1">
      <alignment horizontal="left"/>
    </xf>
    <xf numFmtId="3" fontId="3" fillId="20" borderId="190" xfId="0" applyNumberFormat="1" applyFont="1" applyFill="1" applyBorder="1" applyAlignment="1" applyProtection="1">
      <alignment wrapText="1"/>
    </xf>
    <xf numFmtId="3" fontId="3" fillId="20" borderId="44" xfId="0" applyNumberFormat="1" applyFont="1" applyFill="1" applyBorder="1" applyProtection="1"/>
    <xf numFmtId="3" fontId="3" fillId="20" borderId="0" xfId="0" applyNumberFormat="1" applyFont="1" applyFill="1" applyBorder="1" applyProtection="1"/>
    <xf numFmtId="0" fontId="9" fillId="20" borderId="176" xfId="0" applyFont="1" applyFill="1" applyBorder="1" applyAlignment="1" applyProtection="1">
      <alignment horizontal="left" wrapText="1"/>
    </xf>
    <xf numFmtId="0" fontId="9" fillId="20" borderId="176" xfId="0" applyFont="1" applyFill="1" applyBorder="1" applyAlignment="1" applyProtection="1">
      <alignment horizontal="left"/>
    </xf>
    <xf numFmtId="3" fontId="2" fillId="20" borderId="136" xfId="0" applyNumberFormat="1" applyFont="1" applyFill="1" applyBorder="1" applyAlignment="1" applyProtection="1">
      <alignment horizontal="right"/>
    </xf>
    <xf numFmtId="3" fontId="43" fillId="20" borderId="35" xfId="0" quotePrefix="1" applyNumberFormat="1" applyFont="1" applyFill="1" applyBorder="1" applyAlignment="1" applyProtection="1">
      <alignment horizontal="right"/>
    </xf>
    <xf numFmtId="3" fontId="2" fillId="20" borderId="5" xfId="0" applyNumberFormat="1" applyFont="1" applyFill="1" applyBorder="1" applyAlignment="1" applyProtection="1">
      <alignment horizontal="right"/>
    </xf>
    <xf numFmtId="3" fontId="43" fillId="20" borderId="2" xfId="0" applyNumberFormat="1" applyFont="1" applyFill="1" applyBorder="1" applyAlignment="1" applyProtection="1">
      <alignment horizontal="right"/>
    </xf>
    <xf numFmtId="3" fontId="43" fillId="20" borderId="5" xfId="0" applyNumberFormat="1" applyFont="1" applyFill="1" applyBorder="1" applyAlignment="1" applyProtection="1">
      <alignment horizontal="right"/>
    </xf>
    <xf numFmtId="3" fontId="2" fillId="20" borderId="171" xfId="0" applyNumberFormat="1" applyFont="1" applyFill="1" applyBorder="1" applyAlignment="1" applyProtection="1">
      <alignment horizontal="right"/>
    </xf>
    <xf numFmtId="3" fontId="43" fillId="20" borderId="11" xfId="0" applyNumberFormat="1" applyFont="1" applyFill="1" applyBorder="1" applyAlignment="1" applyProtection="1">
      <alignment horizontal="right"/>
    </xf>
    <xf numFmtId="3" fontId="2" fillId="20" borderId="86" xfId="0" applyNumberFormat="1" applyFont="1" applyFill="1" applyBorder="1" applyAlignment="1" applyProtection="1">
      <alignment horizontal="right"/>
    </xf>
    <xf numFmtId="3" fontId="2" fillId="20" borderId="2" xfId="0" applyNumberFormat="1" applyFont="1" applyFill="1" applyBorder="1" applyAlignment="1" applyProtection="1">
      <alignment horizontal="right"/>
    </xf>
    <xf numFmtId="3" fontId="2" fillId="20" borderId="25" xfId="0" applyNumberFormat="1" applyFont="1" applyFill="1" applyBorder="1" applyAlignment="1" applyProtection="1">
      <alignment horizontal="right"/>
    </xf>
    <xf numFmtId="3" fontId="43" fillId="20" borderId="13" xfId="0" quotePrefix="1" applyNumberFormat="1" applyFont="1" applyFill="1" applyBorder="1" applyAlignment="1" applyProtection="1">
      <alignment horizontal="right"/>
    </xf>
    <xf numFmtId="3" fontId="2" fillId="9" borderId="20" xfId="0" applyNumberFormat="1" applyFont="1" applyFill="1" applyBorder="1" applyProtection="1"/>
    <xf numFmtId="3" fontId="2" fillId="9" borderId="19" xfId="0" applyNumberFormat="1" applyFont="1" applyFill="1" applyBorder="1" applyProtection="1"/>
    <xf numFmtId="172" fontId="34" fillId="0" borderId="0" xfId="0" applyNumberFormat="1" applyFont="1" applyFill="1" applyBorder="1" applyAlignment="1" applyProtection="1">
      <alignment horizontal="left" vertical="justify" wrapText="1"/>
    </xf>
    <xf numFmtId="0" fontId="3" fillId="20" borderId="118" xfId="0" applyFont="1" applyFill="1" applyBorder="1" applyAlignment="1" applyProtection="1">
      <alignment horizontal="right"/>
    </xf>
    <xf numFmtId="0" fontId="8" fillId="20" borderId="98" xfId="0" applyFont="1" applyFill="1" applyBorder="1" applyAlignment="1" applyProtection="1">
      <alignment horizontal="center"/>
    </xf>
    <xf numFmtId="0" fontId="8" fillId="20" borderId="127" xfId="0" applyFont="1" applyFill="1" applyBorder="1" applyAlignment="1" applyProtection="1">
      <alignment horizontal="center"/>
    </xf>
    <xf numFmtId="0" fontId="8" fillId="20" borderId="130" xfId="0" applyFont="1" applyFill="1" applyBorder="1" applyAlignment="1" applyProtection="1">
      <alignment horizontal="center"/>
    </xf>
    <xf numFmtId="0" fontId="3" fillId="20" borderId="98" xfId="0" applyFont="1" applyFill="1" applyBorder="1" applyAlignment="1" applyProtection="1">
      <alignment horizontal="center"/>
    </xf>
    <xf numFmtId="0" fontId="8" fillId="0" borderId="124" xfId="0" applyFont="1" applyFill="1" applyBorder="1" applyAlignment="1" applyProtection="1">
      <alignment horizontal="center"/>
    </xf>
    <xf numFmtId="0" fontId="3" fillId="0" borderId="124" xfId="0" applyFont="1" applyFill="1" applyBorder="1" applyAlignment="1" applyProtection="1">
      <alignment horizontal="right"/>
    </xf>
    <xf numFmtId="0" fontId="34" fillId="0" borderId="0" xfId="0" applyFont="1" applyFill="1" applyAlignment="1" applyProtection="1">
      <alignment horizontal="right"/>
    </xf>
    <xf numFmtId="49" fontId="22" fillId="2" borderId="124" xfId="0" applyNumberFormat="1" applyFont="1" applyFill="1" applyBorder="1" applyProtection="1"/>
    <xf numFmtId="0" fontId="22" fillId="2" borderId="124" xfId="0" applyFont="1" applyFill="1" applyBorder="1" applyProtection="1"/>
    <xf numFmtId="0" fontId="8" fillId="2" borderId="124" xfId="0" applyFont="1" applyFill="1" applyBorder="1" applyProtection="1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/>
    <xf numFmtId="0" fontId="22" fillId="2" borderId="0" xfId="0" applyFont="1" applyFill="1" applyBorder="1" applyAlignment="1" applyProtection="1">
      <alignment vertical="top"/>
    </xf>
    <xf numFmtId="0" fontId="0" fillId="0" borderId="0" xfId="0" applyBorder="1" applyAlignment="1">
      <alignment vertical="top"/>
    </xf>
    <xf numFmtId="0" fontId="2" fillId="0" borderId="6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wrapText="1"/>
    </xf>
    <xf numFmtId="0" fontId="35" fillId="0" borderId="58" xfId="0" applyFont="1" applyFill="1" applyBorder="1" applyProtection="1"/>
    <xf numFmtId="0" fontId="35" fillId="0" borderId="0" xfId="0" applyFont="1" applyFill="1" applyProtection="1"/>
    <xf numFmtId="0" fontId="108" fillId="0" borderId="0" xfId="0" applyFont="1" applyFill="1" applyProtection="1"/>
    <xf numFmtId="0" fontId="5" fillId="20" borderId="42" xfId="0" applyFont="1" applyFill="1" applyBorder="1" applyAlignment="1" applyProtection="1">
      <alignment wrapText="1"/>
    </xf>
    <xf numFmtId="3" fontId="2" fillId="27" borderId="18" xfId="0" applyNumberFormat="1" applyFont="1" applyFill="1" applyBorder="1" applyAlignment="1" applyProtection="1">
      <alignment horizontal="right"/>
    </xf>
    <xf numFmtId="3" fontId="2" fillId="20" borderId="118" xfId="0" applyNumberFormat="1" applyFont="1" applyFill="1" applyBorder="1" applyAlignment="1" applyProtection="1">
      <alignment horizontal="right"/>
    </xf>
    <xf numFmtId="3" fontId="2" fillId="20" borderId="13" xfId="0" applyNumberFormat="1" applyFont="1" applyFill="1" applyBorder="1" applyAlignment="1" applyProtection="1">
      <alignment horizontal="right"/>
    </xf>
    <xf numFmtId="3" fontId="10" fillId="27" borderId="7" xfId="0" applyNumberFormat="1" applyFont="1" applyFill="1" applyBorder="1" applyProtection="1"/>
    <xf numFmtId="3" fontId="10" fillId="27" borderId="5" xfId="0" applyNumberFormat="1" applyFont="1" applyFill="1" applyBorder="1" applyProtection="1"/>
    <xf numFmtId="3" fontId="10" fillId="27" borderId="19" xfId="0" applyNumberFormat="1" applyFont="1" applyFill="1" applyBorder="1" applyProtection="1"/>
    <xf numFmtId="0" fontId="34" fillId="20" borderId="0" xfId="0" applyFont="1" applyFill="1" applyBorder="1" applyAlignment="1" applyProtection="1"/>
    <xf numFmtId="0" fontId="34" fillId="20" borderId="39" xfId="0" applyFont="1" applyFill="1" applyBorder="1" applyAlignment="1" applyProtection="1"/>
    <xf numFmtId="49" fontId="2" fillId="10" borderId="139" xfId="0" applyNumberFormat="1" applyFont="1" applyFill="1" applyBorder="1" applyAlignment="1" applyProtection="1"/>
    <xf numFmtId="0" fontId="34" fillId="20" borderId="58" xfId="0" applyFont="1" applyFill="1" applyBorder="1" applyProtection="1"/>
    <xf numFmtId="0" fontId="112" fillId="7" borderId="0" xfId="0" applyFont="1" applyFill="1" applyProtection="1"/>
    <xf numFmtId="1" fontId="3" fillId="20" borderId="194" xfId="0" applyNumberFormat="1" applyFont="1" applyFill="1" applyBorder="1" applyAlignment="1" applyProtection="1">
      <alignment horizontal="center" wrapText="1"/>
    </xf>
    <xf numFmtId="3" fontId="108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1" fontId="5" fillId="0" borderId="0" xfId="0" applyNumberFormat="1" applyFont="1" applyFill="1" applyBorder="1" applyAlignment="1" applyProtection="1">
      <alignment horizontal="left"/>
    </xf>
    <xf numFmtId="0" fontId="90" fillId="0" borderId="0" xfId="0" applyFont="1" applyFill="1" applyProtection="1"/>
    <xf numFmtId="0" fontId="108" fillId="2" borderId="0" xfId="0" applyFont="1" applyFill="1" applyProtection="1"/>
    <xf numFmtId="0" fontId="5" fillId="20" borderId="70" xfId="0" applyFont="1" applyFill="1" applyBorder="1" applyAlignment="1" applyProtection="1">
      <alignment horizontal="left"/>
    </xf>
    <xf numFmtId="166" fontId="43" fillId="20" borderId="0" xfId="0" applyNumberFormat="1" applyFont="1" applyFill="1" applyBorder="1" applyProtection="1"/>
    <xf numFmtId="3" fontId="43" fillId="21" borderId="0" xfId="0" applyNumberFormat="1" applyFont="1" applyFill="1" applyBorder="1" applyAlignment="1" applyProtection="1">
      <alignment horizontal="right"/>
    </xf>
    <xf numFmtId="3" fontId="43" fillId="22" borderId="0" xfId="0" applyNumberFormat="1" applyFont="1" applyFill="1" applyBorder="1" applyProtection="1"/>
    <xf numFmtId="166" fontId="43" fillId="0" borderId="0" xfId="0" applyNumberFormat="1" applyFont="1" applyFill="1" applyBorder="1" applyProtection="1"/>
    <xf numFmtId="3" fontId="43" fillId="0" borderId="0" xfId="0" applyNumberFormat="1" applyFont="1" applyFill="1" applyBorder="1" applyAlignment="1" applyProtection="1">
      <alignment horizontal="right"/>
    </xf>
    <xf numFmtId="3" fontId="43" fillId="0" borderId="0" xfId="0" applyNumberFormat="1" applyFont="1" applyFill="1" applyBorder="1" applyProtection="1"/>
    <xf numFmtId="3" fontId="43" fillId="21" borderId="122" xfId="0" applyNumberFormat="1" applyFont="1" applyFill="1" applyBorder="1" applyProtection="1"/>
    <xf numFmtId="3" fontId="10" fillId="0" borderId="10" xfId="0" applyNumberFormat="1" applyFont="1" applyFill="1" applyBorder="1" applyAlignment="1" applyProtection="1">
      <alignment horizontal="right"/>
      <protection locked="0"/>
    </xf>
    <xf numFmtId="3" fontId="13" fillId="0" borderId="72" xfId="0" applyNumberFormat="1" applyFont="1" applyFill="1" applyBorder="1" applyAlignment="1" applyProtection="1">
      <alignment horizontal="right"/>
      <protection locked="0"/>
    </xf>
    <xf numFmtId="49" fontId="8" fillId="20" borderId="195" xfId="0" applyNumberFormat="1" applyFont="1" applyFill="1" applyBorder="1" applyAlignment="1" applyProtection="1">
      <alignment horizontal="center"/>
    </xf>
    <xf numFmtId="1" fontId="8" fillId="20" borderId="196" xfId="0" applyNumberFormat="1" applyFont="1" applyFill="1" applyBorder="1" applyAlignment="1" applyProtection="1">
      <alignment horizontal="center"/>
    </xf>
    <xf numFmtId="1" fontId="8" fillId="20" borderId="196" xfId="0" applyNumberFormat="1" applyFont="1" applyFill="1" applyBorder="1" applyAlignment="1" applyProtection="1">
      <alignment horizontal="left"/>
    </xf>
    <xf numFmtId="3" fontId="13" fillId="2" borderId="197" xfId="0" applyNumberFormat="1" applyFont="1" applyFill="1" applyBorder="1" applyAlignment="1" applyProtection="1">
      <alignment horizontal="right"/>
      <protection locked="0"/>
    </xf>
    <xf numFmtId="0" fontId="22" fillId="20" borderId="158" xfId="0" applyFont="1" applyFill="1" applyBorder="1" applyAlignment="1" applyProtection="1">
      <alignment horizontal="left" wrapText="1"/>
    </xf>
    <xf numFmtId="0" fontId="3" fillId="20" borderId="157" xfId="0" applyFont="1" applyFill="1" applyBorder="1" applyAlignment="1" applyProtection="1">
      <alignment vertical="top" wrapText="1"/>
    </xf>
    <xf numFmtId="0" fontId="3" fillId="20" borderId="136" xfId="0" applyFont="1" applyFill="1" applyBorder="1" applyAlignment="1" applyProtection="1">
      <alignment horizontal="left" vertical="top" wrapText="1"/>
    </xf>
    <xf numFmtId="49" fontId="3" fillId="20" borderId="133" xfId="0" applyNumberFormat="1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3" fontId="2" fillId="3" borderId="40" xfId="0" applyNumberFormat="1" applyFont="1" applyFill="1" applyBorder="1" applyProtection="1"/>
    <xf numFmtId="3" fontId="3" fillId="20" borderId="161" xfId="0" applyNumberFormat="1" applyFont="1" applyFill="1" applyBorder="1" applyAlignment="1" applyProtection="1">
      <alignment horizontal="left" vertical="top" wrapText="1"/>
    </xf>
    <xf numFmtId="3" fontId="3" fillId="20" borderId="5" xfId="0" applyNumberFormat="1" applyFont="1" applyFill="1" applyBorder="1" applyAlignment="1" applyProtection="1">
      <alignment vertical="top" wrapText="1"/>
    </xf>
    <xf numFmtId="0" fontId="3" fillId="20" borderId="56" xfId="0" applyFont="1" applyFill="1" applyBorder="1" applyAlignment="1" applyProtection="1">
      <alignment vertical="top" wrapText="1"/>
    </xf>
    <xf numFmtId="0" fontId="3" fillId="20" borderId="62" xfId="0" applyFont="1" applyFill="1" applyBorder="1" applyProtection="1"/>
    <xf numFmtId="3" fontId="3" fillId="20" borderId="158" xfId="0" applyNumberFormat="1" applyFont="1" applyFill="1" applyBorder="1" applyAlignment="1" applyProtection="1">
      <alignment vertical="top" wrapText="1"/>
    </xf>
    <xf numFmtId="3" fontId="3" fillId="20" borderId="16" xfId="0" applyNumberFormat="1" applyFont="1" applyFill="1" applyBorder="1" applyAlignment="1" applyProtection="1">
      <alignment vertical="top" wrapText="1"/>
    </xf>
    <xf numFmtId="0" fontId="3" fillId="20" borderId="98" xfId="0" applyFont="1" applyFill="1" applyBorder="1" applyAlignment="1" applyProtection="1">
      <alignment vertical="top"/>
    </xf>
    <xf numFmtId="0" fontId="3" fillId="20" borderId="124" xfId="0" applyFont="1" applyFill="1" applyBorder="1" applyAlignment="1" applyProtection="1">
      <alignment vertical="top"/>
    </xf>
    <xf numFmtId="0" fontId="3" fillId="20" borderId="102" xfId="0" applyFont="1" applyFill="1" applyBorder="1" applyAlignment="1" applyProtection="1">
      <alignment vertical="top"/>
    </xf>
    <xf numFmtId="0" fontId="3" fillId="20" borderId="96" xfId="0" applyFont="1" applyFill="1" applyBorder="1" applyAlignment="1" applyProtection="1">
      <alignment vertical="top"/>
    </xf>
    <xf numFmtId="0" fontId="5" fillId="20" borderId="164" xfId="0" applyFont="1" applyFill="1" applyBorder="1" applyAlignment="1" applyProtection="1">
      <alignment vertical="top"/>
    </xf>
    <xf numFmtId="0" fontId="3" fillId="20" borderId="164" xfId="0" applyFont="1" applyFill="1" applyBorder="1" applyAlignment="1" applyProtection="1">
      <alignment vertical="top"/>
    </xf>
    <xf numFmtId="0" fontId="3" fillId="20" borderId="198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5" fillId="20" borderId="190" xfId="0" applyFont="1" applyFill="1" applyBorder="1" applyAlignment="1" applyProtection="1">
      <alignment vertical="center"/>
    </xf>
    <xf numFmtId="0" fontId="5" fillId="20" borderId="199" xfId="0" applyFont="1" applyFill="1" applyBorder="1" applyAlignment="1" applyProtection="1">
      <alignment vertical="center"/>
    </xf>
    <xf numFmtId="1" fontId="8" fillId="20" borderId="130" xfId="0" applyNumberFormat="1" applyFont="1" applyFill="1" applyBorder="1" applyAlignment="1" applyProtection="1">
      <alignment horizontal="left"/>
    </xf>
    <xf numFmtId="1" fontId="8" fillId="20" borderId="94" xfId="0" applyNumberFormat="1" applyFont="1" applyFill="1" applyBorder="1" applyAlignment="1" applyProtection="1">
      <alignment horizontal="left"/>
    </xf>
    <xf numFmtId="3" fontId="8" fillId="20" borderId="7" xfId="0" applyNumberFormat="1" applyFont="1" applyFill="1" applyBorder="1" applyProtection="1"/>
    <xf numFmtId="0" fontId="3" fillId="20" borderId="101" xfId="5" applyFont="1" applyFill="1" applyBorder="1" applyAlignment="1" applyProtection="1">
      <alignment horizontal="left" wrapText="1"/>
    </xf>
    <xf numFmtId="0" fontId="3" fillId="20" borderId="56" xfId="5" applyFont="1" applyFill="1" applyBorder="1" applyAlignment="1" applyProtection="1">
      <alignment horizontal="right"/>
    </xf>
    <xf numFmtId="3" fontId="2" fillId="0" borderId="0" xfId="0" applyNumberFormat="1" applyFont="1" applyFill="1" applyBorder="1" applyProtection="1"/>
    <xf numFmtId="3" fontId="13" fillId="2" borderId="184" xfId="0" applyNumberFormat="1" applyFont="1" applyFill="1" applyBorder="1" applyAlignment="1" applyProtection="1">
      <alignment horizontal="right"/>
      <protection locked="0"/>
    </xf>
    <xf numFmtId="0" fontId="3" fillId="20" borderId="88" xfId="0" applyFont="1" applyFill="1" applyBorder="1" applyAlignment="1" applyProtection="1">
      <alignment vertical="top" wrapText="1"/>
    </xf>
    <xf numFmtId="0" fontId="3" fillId="20" borderId="118" xfId="0" applyFont="1" applyFill="1" applyBorder="1" applyAlignment="1" applyProtection="1">
      <alignment vertical="top" wrapText="1"/>
    </xf>
    <xf numFmtId="3" fontId="3" fillId="20" borderId="44" xfId="5" applyNumberFormat="1" applyFont="1" applyFill="1" applyBorder="1" applyAlignment="1" applyProtection="1">
      <alignment vertical="center"/>
    </xf>
    <xf numFmtId="3" fontId="5" fillId="20" borderId="159" xfId="5" applyNumberFormat="1" applyFont="1" applyFill="1" applyBorder="1" applyAlignment="1" applyProtection="1">
      <alignment vertical="top"/>
    </xf>
    <xf numFmtId="3" fontId="104" fillId="20" borderId="15" xfId="0" applyNumberFormat="1" applyFont="1" applyFill="1" applyBorder="1" applyAlignment="1" applyProtection="1">
      <alignment vertical="center"/>
    </xf>
    <xf numFmtId="0" fontId="5" fillId="20" borderId="124" xfId="0" applyFont="1" applyFill="1" applyBorder="1" applyProtection="1"/>
    <xf numFmtId="49" fontId="5" fillId="20" borderId="98" xfId="0" applyNumberFormat="1" applyFont="1" applyFill="1" applyBorder="1" applyAlignment="1" applyProtection="1">
      <alignment horizontal="left"/>
    </xf>
    <xf numFmtId="49" fontId="5" fillId="20" borderId="127" xfId="0" applyNumberFormat="1" applyFont="1" applyFill="1" applyBorder="1" applyAlignment="1" applyProtection="1">
      <alignment horizontal="left" vertical="top"/>
    </xf>
    <xf numFmtId="49" fontId="2" fillId="10" borderId="158" xfId="0" applyNumberFormat="1" applyFont="1" applyFill="1" applyBorder="1" applyAlignment="1" applyProtection="1"/>
    <xf numFmtId="3" fontId="44" fillId="17" borderId="39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vertical="top"/>
    </xf>
    <xf numFmtId="0" fontId="108" fillId="0" borderId="0" xfId="0" applyFont="1" applyFill="1" applyBorder="1" applyAlignment="1" applyProtection="1">
      <alignment horizontal="right"/>
    </xf>
    <xf numFmtId="0" fontId="93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108" fillId="0" borderId="0" xfId="0" applyFont="1" applyFill="1" applyBorder="1" applyAlignment="1" applyProtection="1">
      <alignment horizontal="left"/>
    </xf>
    <xf numFmtId="9" fontId="108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97" fillId="0" borderId="0" xfId="0" applyFont="1" applyFill="1" applyBorder="1" applyProtection="1"/>
    <xf numFmtId="0" fontId="7" fillId="0" borderId="0" xfId="0" applyFont="1" applyFill="1" applyBorder="1" applyAlignment="1" applyProtection="1"/>
    <xf numFmtId="3" fontId="5" fillId="0" borderId="0" xfId="0" applyNumberFormat="1" applyFont="1" applyFill="1" applyBorder="1" applyProtection="1"/>
    <xf numFmtId="3" fontId="5" fillId="0" borderId="0" xfId="0" applyNumberFormat="1" applyFont="1" applyFill="1" applyBorder="1" applyAlignment="1" applyProtection="1">
      <alignment horizontal="center" vertical="center" wrapText="1"/>
    </xf>
    <xf numFmtId="49" fontId="3" fillId="20" borderId="9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left"/>
    </xf>
    <xf numFmtId="3" fontId="3" fillId="20" borderId="75" xfId="0" applyNumberFormat="1" applyFont="1" applyFill="1" applyBorder="1" applyAlignment="1" applyProtection="1"/>
    <xf numFmtId="3" fontId="8" fillId="20" borderId="76" xfId="0" applyNumberFormat="1" applyFont="1" applyFill="1" applyBorder="1" applyAlignment="1" applyProtection="1"/>
    <xf numFmtId="3" fontId="8" fillId="20" borderId="92" xfId="0" applyNumberFormat="1" applyFont="1" applyFill="1" applyBorder="1" applyAlignment="1" applyProtection="1"/>
    <xf numFmtId="3" fontId="2" fillId="0" borderId="200" xfId="0" applyNumberFormat="1" applyFont="1" applyFill="1" applyBorder="1" applyAlignment="1" applyProtection="1">
      <alignment horizontal="right"/>
      <protection locked="0"/>
    </xf>
    <xf numFmtId="49" fontId="3" fillId="0" borderId="0" xfId="9" applyNumberFormat="1" applyFont="1" applyFill="1" applyAlignment="1" applyProtection="1">
      <alignment horizontal="left"/>
    </xf>
    <xf numFmtId="0" fontId="3" fillId="20" borderId="201" xfId="0" applyFont="1" applyFill="1" applyBorder="1" applyAlignment="1" applyProtection="1">
      <alignment horizontal="left"/>
    </xf>
    <xf numFmtId="1" fontId="3" fillId="20" borderId="25" xfId="0" applyNumberFormat="1" applyFont="1" applyFill="1" applyBorder="1" applyAlignment="1" applyProtection="1">
      <alignment horizontal="left"/>
    </xf>
    <xf numFmtId="0" fontId="3" fillId="20" borderId="70" xfId="0" applyFont="1" applyFill="1" applyBorder="1" applyProtection="1"/>
    <xf numFmtId="0" fontId="5" fillId="20" borderId="13" xfId="0" applyFont="1" applyFill="1" applyBorder="1" applyAlignment="1" applyProtection="1">
      <alignment vertical="top" wrapText="1"/>
    </xf>
    <xf numFmtId="0" fontId="14" fillId="20" borderId="25" xfId="0" applyFont="1" applyFill="1" applyBorder="1" applyProtection="1"/>
    <xf numFmtId="0" fontId="5" fillId="20" borderId="84" xfId="0" applyFont="1" applyFill="1" applyBorder="1" applyAlignment="1" applyProtection="1">
      <alignment wrapText="1"/>
    </xf>
    <xf numFmtId="1" fontId="3" fillId="20" borderId="13" xfId="0" applyNumberFormat="1" applyFont="1" applyFill="1" applyBorder="1" applyAlignment="1" applyProtection="1">
      <alignment horizontal="center"/>
    </xf>
    <xf numFmtId="0" fontId="3" fillId="20" borderId="13" xfId="0" applyFont="1" applyFill="1" applyBorder="1" applyProtection="1"/>
    <xf numFmtId="1" fontId="8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8" xfId="0" applyFont="1" applyFill="1" applyBorder="1" applyAlignment="1" applyProtection="1">
      <alignment horizontal="center"/>
    </xf>
    <xf numFmtId="0" fontId="3" fillId="0" borderId="58" xfId="0" applyFont="1" applyFill="1" applyBorder="1" applyAlignment="1" applyProtection="1">
      <alignment horizontal="left"/>
    </xf>
    <xf numFmtId="0" fontId="14" fillId="0" borderId="58" xfId="0" applyFont="1" applyFill="1" applyBorder="1" applyProtection="1"/>
    <xf numFmtId="0" fontId="113" fillId="2" borderId="0" xfId="0" applyFont="1" applyFill="1" applyBorder="1" applyProtection="1"/>
    <xf numFmtId="0" fontId="113" fillId="28" borderId="0" xfId="0" applyFont="1" applyFill="1" applyProtection="1"/>
    <xf numFmtId="0" fontId="5" fillId="20" borderId="190" xfId="5" applyFont="1" applyFill="1" applyBorder="1" applyProtection="1"/>
    <xf numFmtId="3" fontId="5" fillId="20" borderId="157" xfId="5" applyNumberFormat="1" applyFont="1" applyFill="1" applyBorder="1" applyProtection="1"/>
    <xf numFmtId="0" fontId="5" fillId="20" borderId="117" xfId="5" applyFont="1" applyFill="1" applyBorder="1" applyProtection="1"/>
    <xf numFmtId="0" fontId="12" fillId="20" borderId="159" xfId="5" applyFont="1" applyFill="1" applyBorder="1" applyProtection="1"/>
    <xf numFmtId="0" fontId="3" fillId="20" borderId="16" xfId="5" applyFont="1" applyFill="1" applyBorder="1" applyAlignment="1" applyProtection="1">
      <alignment vertical="top" wrapText="1"/>
    </xf>
    <xf numFmtId="3" fontId="5" fillId="20" borderId="159" xfId="0" applyNumberFormat="1" applyFont="1" applyFill="1" applyBorder="1" applyAlignment="1" applyProtection="1">
      <alignment vertical="top"/>
    </xf>
    <xf numFmtId="3" fontId="3" fillId="20" borderId="94" xfId="5" applyNumberFormat="1" applyFont="1" applyFill="1" applyBorder="1" applyAlignment="1" applyProtection="1"/>
    <xf numFmtId="167" fontId="9" fillId="0" borderId="0" xfId="0" applyNumberFormat="1" applyFont="1" applyFill="1" applyBorder="1" applyProtection="1"/>
    <xf numFmtId="0" fontId="99" fillId="0" borderId="0" xfId="0" applyFont="1" applyFill="1" applyBorder="1" applyProtection="1"/>
    <xf numFmtId="0" fontId="99" fillId="0" borderId="0" xfId="0" applyFont="1" applyFill="1" applyBorder="1" applyAlignment="1" applyProtection="1">
      <alignment horizontal="center"/>
    </xf>
    <xf numFmtId="0" fontId="3" fillId="20" borderId="155" xfId="0" applyFont="1" applyFill="1" applyBorder="1" applyAlignment="1" applyProtection="1">
      <alignment horizontal="left" vertical="top" wrapText="1"/>
    </xf>
    <xf numFmtId="0" fontId="3" fillId="20" borderId="91" xfId="0" applyFont="1" applyFill="1" applyBorder="1" applyAlignment="1" applyProtection="1">
      <alignment horizontal="left" vertical="top"/>
    </xf>
    <xf numFmtId="3" fontId="3" fillId="20" borderId="26" xfId="0" applyNumberFormat="1" applyFont="1" applyFill="1" applyBorder="1" applyAlignment="1" applyProtection="1">
      <alignment vertical="top" wrapText="1"/>
    </xf>
    <xf numFmtId="0" fontId="15" fillId="20" borderId="159" xfId="0" applyFont="1" applyFill="1" applyBorder="1" applyAlignment="1" applyProtection="1">
      <alignment vertical="top" wrapText="1"/>
    </xf>
    <xf numFmtId="0" fontId="3" fillId="20" borderId="174" xfId="0" applyFont="1" applyFill="1" applyBorder="1" applyAlignment="1" applyProtection="1">
      <alignment horizontal="left" wrapText="1"/>
    </xf>
    <xf numFmtId="0" fontId="15" fillId="20" borderId="158" xfId="0" applyFont="1" applyFill="1" applyBorder="1" applyAlignment="1" applyProtection="1">
      <alignment vertical="top" wrapText="1"/>
    </xf>
    <xf numFmtId="0" fontId="3" fillId="20" borderId="16" xfId="5" applyFont="1" applyFill="1" applyBorder="1" applyAlignment="1" applyProtection="1">
      <alignment horizontal="left" vertical="center" wrapText="1"/>
    </xf>
    <xf numFmtId="0" fontId="5" fillId="20" borderId="191" xfId="5" applyFont="1" applyFill="1" applyBorder="1" applyProtection="1"/>
    <xf numFmtId="0" fontId="109" fillId="2" borderId="0" xfId="0" applyFont="1" applyFill="1" applyProtection="1"/>
    <xf numFmtId="3" fontId="3" fillId="20" borderId="161" xfId="0" applyNumberFormat="1" applyFont="1" applyFill="1" applyBorder="1" applyAlignment="1" applyProtection="1">
      <alignment horizontal="left" vertical="top"/>
    </xf>
    <xf numFmtId="3" fontId="2" fillId="2" borderId="3" xfId="0" applyNumberFormat="1" applyFont="1" applyFill="1" applyBorder="1" applyAlignment="1" applyProtection="1">
      <alignment horizontal="right"/>
      <protection locked="0"/>
    </xf>
    <xf numFmtId="3" fontId="2" fillId="3" borderId="3" xfId="0" applyNumberFormat="1" applyFont="1" applyFill="1" applyBorder="1" applyAlignment="1" applyProtection="1">
      <alignment horizontal="right"/>
    </xf>
    <xf numFmtId="3" fontId="2" fillId="2" borderId="28" xfId="0" applyNumberFormat="1" applyFont="1" applyFill="1" applyBorder="1" applyAlignment="1" applyProtection="1">
      <alignment horizontal="right"/>
      <protection locked="0"/>
    </xf>
    <xf numFmtId="3" fontId="2" fillId="3" borderId="103" xfId="0" applyNumberFormat="1" applyFont="1" applyFill="1" applyBorder="1" applyAlignment="1" applyProtection="1">
      <alignment horizontal="right"/>
    </xf>
    <xf numFmtId="3" fontId="3" fillId="20" borderId="78" xfId="0" applyNumberFormat="1" applyFont="1" applyFill="1" applyBorder="1" applyProtection="1"/>
    <xf numFmtId="3" fontId="5" fillId="0" borderId="58" xfId="0" applyNumberFormat="1" applyFont="1" applyFill="1" applyBorder="1" applyProtection="1"/>
    <xf numFmtId="3" fontId="5" fillId="0" borderId="57" xfId="0" applyNumberFormat="1" applyFont="1" applyFill="1" applyBorder="1" applyProtection="1"/>
    <xf numFmtId="0" fontId="22" fillId="2" borderId="58" xfId="0" applyFont="1" applyFill="1" applyBorder="1" applyProtection="1"/>
    <xf numFmtId="3" fontId="43" fillId="21" borderId="131" xfId="0" applyNumberFormat="1" applyFont="1" applyFill="1" applyBorder="1" applyProtection="1"/>
    <xf numFmtId="0" fontId="3" fillId="20" borderId="112" xfId="0" applyFont="1" applyFill="1" applyBorder="1" applyProtection="1"/>
    <xf numFmtId="0" fontId="3" fillId="20" borderId="27" xfId="0" applyFont="1" applyFill="1" applyBorder="1" applyProtection="1"/>
    <xf numFmtId="3" fontId="2" fillId="21" borderId="0" xfId="0" applyNumberFormat="1" applyFont="1" applyFill="1" applyBorder="1" applyAlignment="1" applyProtection="1">
      <alignment horizontal="right"/>
    </xf>
    <xf numFmtId="0" fontId="2" fillId="21" borderId="0" xfId="0" applyFont="1" applyFill="1" applyBorder="1" applyProtection="1"/>
    <xf numFmtId="14" fontId="3" fillId="20" borderId="124" xfId="0" applyNumberFormat="1" applyFont="1" applyFill="1" applyBorder="1" applyAlignment="1" applyProtection="1">
      <alignment horizontal="center"/>
    </xf>
    <xf numFmtId="0" fontId="3" fillId="20" borderId="101" xfId="0" applyFont="1" applyFill="1" applyBorder="1" applyProtection="1"/>
    <xf numFmtId="14" fontId="3" fillId="20" borderId="95" xfId="0" applyNumberFormat="1" applyFont="1" applyFill="1" applyBorder="1" applyAlignment="1" applyProtection="1">
      <alignment horizontal="center"/>
    </xf>
    <xf numFmtId="3" fontId="2" fillId="21" borderId="39" xfId="0" applyNumberFormat="1" applyFont="1" applyFill="1" applyBorder="1" applyAlignment="1" applyProtection="1">
      <alignment horizontal="right"/>
    </xf>
    <xf numFmtId="0" fontId="2" fillId="21" borderId="39" xfId="0" applyFont="1" applyFill="1" applyBorder="1" applyProtection="1"/>
    <xf numFmtId="14" fontId="3" fillId="20" borderId="0" xfId="0" applyNumberFormat="1" applyFont="1" applyFill="1" applyBorder="1" applyAlignment="1" applyProtection="1">
      <alignment horizontal="center"/>
    </xf>
    <xf numFmtId="0" fontId="3" fillId="20" borderId="39" xfId="0" applyFont="1" applyFill="1" applyBorder="1" applyProtection="1"/>
    <xf numFmtId="0" fontId="3" fillId="20" borderId="67" xfId="0" applyFont="1" applyFill="1" applyBorder="1" applyProtection="1"/>
    <xf numFmtId="0" fontId="2" fillId="20" borderId="27" xfId="0" applyFont="1" applyFill="1" applyBorder="1" applyProtection="1"/>
    <xf numFmtId="14" fontId="3" fillId="20" borderId="39" xfId="0" applyNumberFormat="1" applyFont="1" applyFill="1" applyBorder="1" applyAlignment="1" applyProtection="1">
      <alignment horizontal="center"/>
    </xf>
    <xf numFmtId="49" fontId="2" fillId="10" borderId="37" xfId="0" applyNumberFormat="1" applyFont="1" applyFill="1" applyBorder="1" applyAlignment="1" applyProtection="1"/>
    <xf numFmtId="0" fontId="3" fillId="20" borderId="113" xfId="0" applyFont="1" applyFill="1" applyBorder="1" applyProtection="1"/>
    <xf numFmtId="0" fontId="3" fillId="20" borderId="68" xfId="0" applyFont="1" applyFill="1" applyBorder="1" applyAlignment="1" applyProtection="1">
      <alignment wrapText="1"/>
    </xf>
    <xf numFmtId="0" fontId="3" fillId="20" borderId="159" xfId="0" applyFont="1" applyFill="1" applyBorder="1" applyAlignment="1" applyProtection="1">
      <alignment vertical="top" wrapText="1"/>
    </xf>
    <xf numFmtId="0" fontId="3" fillId="20" borderId="38" xfId="0" applyFont="1" applyFill="1" applyBorder="1" applyAlignment="1" applyProtection="1">
      <alignment horizontal="center"/>
    </xf>
    <xf numFmtId="49" fontId="3" fillId="20" borderId="42" xfId="0" applyNumberFormat="1" applyFont="1" applyFill="1" applyBorder="1" applyAlignment="1" applyProtection="1">
      <alignment horizontal="center" wrapText="1"/>
    </xf>
    <xf numFmtId="49" fontId="3" fillId="20" borderId="132" xfId="0" applyNumberFormat="1" applyFont="1" applyFill="1" applyBorder="1" applyAlignment="1" applyProtection="1">
      <alignment horizontal="center"/>
    </xf>
    <xf numFmtId="49" fontId="3" fillId="20" borderId="133" xfId="0" applyNumberFormat="1" applyFont="1" applyFill="1" applyBorder="1" applyAlignment="1" applyProtection="1">
      <alignment horizontal="center"/>
    </xf>
    <xf numFmtId="0" fontId="3" fillId="20" borderId="156" xfId="0" applyFont="1" applyFill="1" applyBorder="1" applyAlignment="1" applyProtection="1">
      <alignment horizontal="center"/>
    </xf>
    <xf numFmtId="0" fontId="3" fillId="20" borderId="5" xfId="0" applyFont="1" applyFill="1" applyBorder="1" applyAlignment="1" applyProtection="1">
      <alignment horizontal="center" wrapText="1"/>
    </xf>
    <xf numFmtId="49" fontId="3" fillId="20" borderId="34" xfId="0" applyNumberFormat="1" applyFont="1" applyFill="1" applyBorder="1" applyAlignment="1" applyProtection="1">
      <alignment horizontal="center"/>
    </xf>
    <xf numFmtId="49" fontId="3" fillId="20" borderId="35" xfId="0" applyNumberFormat="1" applyFont="1" applyFill="1" applyBorder="1" applyAlignment="1" applyProtection="1">
      <alignment horizontal="center"/>
    </xf>
    <xf numFmtId="49" fontId="3" fillId="20" borderId="106" xfId="0" applyNumberFormat="1" applyFont="1" applyFill="1" applyBorder="1" applyAlignment="1" applyProtection="1">
      <alignment horizontal="center"/>
    </xf>
    <xf numFmtId="1" fontId="3" fillId="20" borderId="2" xfId="0" applyNumberFormat="1" applyFont="1" applyFill="1" applyBorder="1" applyAlignment="1" applyProtection="1">
      <alignment horizontal="center" wrapText="1"/>
    </xf>
    <xf numFmtId="0" fontId="3" fillId="20" borderId="76" xfId="0" applyFont="1" applyFill="1" applyBorder="1" applyAlignment="1" applyProtection="1">
      <alignment horizontal="center" wrapText="1"/>
    </xf>
    <xf numFmtId="0" fontId="8" fillId="0" borderId="0" xfId="0" applyFont="1" applyFill="1" applyProtection="1"/>
    <xf numFmtId="1" fontId="3" fillId="20" borderId="42" xfId="0" applyNumberFormat="1" applyFont="1" applyFill="1" applyBorder="1" applyAlignment="1" applyProtection="1">
      <alignment horizontal="center" vertical="top" wrapText="1"/>
    </xf>
    <xf numFmtId="49" fontId="3" fillId="20" borderId="14" xfId="0" applyNumberFormat="1" applyFont="1" applyFill="1" applyBorder="1" applyAlignment="1" applyProtection="1">
      <alignment horizontal="center"/>
    </xf>
    <xf numFmtId="49" fontId="3" fillId="20" borderId="9" xfId="0" applyNumberFormat="1" applyFont="1" applyFill="1" applyBorder="1" applyAlignment="1" applyProtection="1">
      <alignment horizontal="center"/>
    </xf>
    <xf numFmtId="0" fontId="3" fillId="20" borderId="91" xfId="0" applyFont="1" applyFill="1" applyBorder="1" applyAlignment="1" applyProtection="1">
      <alignment horizontal="center"/>
    </xf>
    <xf numFmtId="1" fontId="3" fillId="20" borderId="25" xfId="0" applyNumberFormat="1" applyFont="1" applyFill="1" applyBorder="1" applyAlignment="1" applyProtection="1">
      <alignment horizontal="center"/>
    </xf>
    <xf numFmtId="3" fontId="3" fillId="20" borderId="25" xfId="0" applyNumberFormat="1" applyFont="1" applyFill="1" applyBorder="1" applyAlignment="1" applyProtection="1">
      <alignment horizontal="left" vertical="top" wrapText="1"/>
    </xf>
    <xf numFmtId="3" fontId="3" fillId="20" borderId="76" xfId="0" applyNumberFormat="1" applyFont="1" applyFill="1" applyBorder="1" applyAlignment="1" applyProtection="1"/>
    <xf numFmtId="3" fontId="3" fillId="20" borderId="92" xfId="0" applyNumberFormat="1" applyFont="1" applyFill="1" applyBorder="1" applyAlignment="1" applyProtection="1"/>
    <xf numFmtId="0" fontId="3" fillId="29" borderId="101" xfId="0" applyFont="1" applyFill="1" applyBorder="1" applyAlignment="1" applyProtection="1">
      <alignment horizontal="left" vertical="top" wrapText="1"/>
    </xf>
    <xf numFmtId="0" fontId="3" fillId="29" borderId="117" xfId="0" applyFont="1" applyFill="1" applyBorder="1" applyAlignment="1" applyProtection="1">
      <alignment horizontal="left" vertical="top"/>
    </xf>
    <xf numFmtId="0" fontId="0" fillId="29" borderId="44" xfId="0" applyFill="1" applyBorder="1" applyProtection="1"/>
    <xf numFmtId="0" fontId="3" fillId="29" borderId="16" xfId="0" applyFont="1" applyFill="1" applyBorder="1" applyAlignment="1" applyProtection="1">
      <alignment horizontal="left" vertical="top" wrapText="1"/>
    </xf>
    <xf numFmtId="3" fontId="3" fillId="29" borderId="168" xfId="0" applyNumberFormat="1" applyFont="1" applyFill="1" applyBorder="1" applyProtection="1"/>
    <xf numFmtId="3" fontId="3" fillId="29" borderId="101" xfId="0" applyNumberFormat="1" applyFont="1" applyFill="1" applyBorder="1" applyAlignment="1" applyProtection="1">
      <alignment horizontal="left" vertical="top" wrapText="1"/>
    </xf>
    <xf numFmtId="0" fontId="3" fillId="29" borderId="120" xfId="0" applyFont="1" applyFill="1" applyBorder="1" applyAlignment="1" applyProtection="1">
      <alignment horizontal="left" vertical="top" wrapText="1"/>
    </xf>
    <xf numFmtId="3" fontId="3" fillId="29" borderId="118" xfId="0" applyNumberFormat="1" applyFont="1" applyFill="1" applyBorder="1" applyAlignment="1" applyProtection="1">
      <alignment horizontal="left" wrapText="1"/>
    </xf>
    <xf numFmtId="49" fontId="3" fillId="29" borderId="118" xfId="0" applyNumberFormat="1" applyFont="1" applyFill="1" applyBorder="1" applyAlignment="1" applyProtection="1">
      <alignment vertical="top"/>
    </xf>
    <xf numFmtId="3" fontId="3" fillId="29" borderId="101" xfId="0" applyNumberFormat="1" applyFont="1" applyFill="1" applyBorder="1" applyAlignment="1" applyProtection="1">
      <alignment vertical="top"/>
    </xf>
    <xf numFmtId="3" fontId="3" fillId="29" borderId="88" xfId="0" applyNumberFormat="1" applyFont="1" applyFill="1" applyBorder="1" applyAlignment="1" applyProtection="1">
      <alignment vertical="top" wrapText="1"/>
    </xf>
    <xf numFmtId="3" fontId="3" fillId="29" borderId="16" xfId="0" applyNumberFormat="1" applyFont="1" applyFill="1" applyBorder="1" applyAlignment="1" applyProtection="1">
      <alignment horizontal="left" vertical="top" wrapText="1"/>
    </xf>
    <xf numFmtId="0" fontId="3" fillId="29" borderId="154" xfId="0" applyFont="1" applyFill="1" applyBorder="1" applyAlignment="1" applyProtection="1">
      <alignment horizontal="left" vertical="top" wrapText="1"/>
    </xf>
    <xf numFmtId="3" fontId="3" fillId="29" borderId="15" xfId="0" applyNumberFormat="1" applyFont="1" applyFill="1" applyBorder="1" applyAlignment="1" applyProtection="1">
      <alignment horizontal="left" vertical="top" wrapText="1"/>
    </xf>
    <xf numFmtId="0" fontId="11" fillId="29" borderId="0" xfId="0" applyFont="1" applyFill="1" applyBorder="1" applyProtection="1"/>
    <xf numFmtId="3" fontId="3" fillId="29" borderId="16" xfId="0" applyNumberFormat="1" applyFont="1" applyFill="1" applyBorder="1" applyAlignment="1" applyProtection="1">
      <alignment vertical="top"/>
    </xf>
    <xf numFmtId="3" fontId="8" fillId="29" borderId="60" xfId="0" applyNumberFormat="1" applyFont="1" applyFill="1" applyBorder="1" applyProtection="1"/>
    <xf numFmtId="0" fontId="5" fillId="29" borderId="44" xfId="0" applyFont="1" applyFill="1" applyBorder="1" applyProtection="1"/>
    <xf numFmtId="3" fontId="8" fillId="29" borderId="16" xfId="0" applyNumberFormat="1" applyFont="1" applyFill="1" applyBorder="1" applyAlignment="1" applyProtection="1">
      <alignment horizontal="left"/>
    </xf>
    <xf numFmtId="0" fontId="8" fillId="29" borderId="168" xfId="0" applyFont="1" applyFill="1" applyBorder="1" applyProtection="1"/>
    <xf numFmtId="3" fontId="8" fillId="29" borderId="154" xfId="0" applyNumberFormat="1" applyFont="1" applyFill="1" applyBorder="1" applyAlignment="1" applyProtection="1">
      <alignment horizontal="left" vertical="top"/>
    </xf>
    <xf numFmtId="0" fontId="0" fillId="29" borderId="0" xfId="0" applyFill="1" applyBorder="1" applyAlignment="1" applyProtection="1">
      <alignment vertical="top" wrapText="1"/>
    </xf>
    <xf numFmtId="0" fontId="11" fillId="29" borderId="16" xfId="0" applyFont="1" applyFill="1" applyBorder="1" applyProtection="1"/>
    <xf numFmtId="0" fontId="8" fillId="29" borderId="60" xfId="0" applyFont="1" applyFill="1" applyBorder="1" applyProtection="1"/>
    <xf numFmtId="0" fontId="11" fillId="29" borderId="62" xfId="0" applyFont="1" applyFill="1" applyBorder="1" applyProtection="1"/>
    <xf numFmtId="0" fontId="8" fillId="29" borderId="150" xfId="0" applyFont="1" applyFill="1" applyBorder="1" applyProtection="1"/>
    <xf numFmtId="0" fontId="8" fillId="29" borderId="42" xfId="0" applyFont="1" applyFill="1" applyBorder="1" applyProtection="1"/>
    <xf numFmtId="3" fontId="8" fillId="29" borderId="150" xfId="0" applyNumberFormat="1" applyFont="1" applyFill="1" applyBorder="1" applyProtection="1"/>
    <xf numFmtId="3" fontId="3" fillId="29" borderId="15" xfId="0" applyNumberFormat="1" applyFont="1" applyFill="1" applyBorder="1" applyAlignment="1" applyProtection="1">
      <alignment horizontal="left" vertical="top"/>
    </xf>
    <xf numFmtId="49" fontId="8" fillId="29" borderId="89" xfId="0" applyNumberFormat="1" applyFont="1" applyFill="1" applyBorder="1" applyProtection="1"/>
    <xf numFmtId="0" fontId="8" fillId="29" borderId="90" xfId="0" applyFont="1" applyFill="1" applyBorder="1" applyProtection="1"/>
    <xf numFmtId="0" fontId="3" fillId="29" borderId="127" xfId="0" applyFont="1" applyFill="1" applyBorder="1" applyAlignment="1" applyProtection="1">
      <alignment vertical="top" wrapText="1"/>
    </xf>
    <xf numFmtId="0" fontId="3" fillId="29" borderId="15" xfId="0" applyFont="1" applyFill="1" applyBorder="1" applyAlignment="1" applyProtection="1">
      <alignment vertical="top" wrapText="1"/>
    </xf>
    <xf numFmtId="3" fontId="3" fillId="29" borderId="60" xfId="0" applyNumberFormat="1" applyFont="1" applyFill="1" applyBorder="1" applyAlignment="1" applyProtection="1">
      <alignment vertical="top" wrapText="1"/>
    </xf>
    <xf numFmtId="0" fontId="8" fillId="29" borderId="127" xfId="0" applyFont="1" applyFill="1" applyBorder="1" applyProtection="1"/>
    <xf numFmtId="0" fontId="8" fillId="29" borderId="15" xfId="0" applyFont="1" applyFill="1" applyBorder="1" applyProtection="1"/>
    <xf numFmtId="0" fontId="8" fillId="29" borderId="116" xfId="0" applyFont="1" applyFill="1" applyBorder="1" applyProtection="1"/>
    <xf numFmtId="171" fontId="34" fillId="0" borderId="0" xfId="0" applyNumberFormat="1" applyFont="1" applyFill="1" applyBorder="1" applyAlignment="1" applyProtection="1">
      <alignment horizontal="left" vertical="top" wrapText="1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0" fontId="5" fillId="20" borderId="188" xfId="0" applyFont="1" applyFill="1" applyBorder="1" applyAlignment="1" applyProtection="1">
      <alignment horizontal="left"/>
    </xf>
    <xf numFmtId="0" fontId="3" fillId="20" borderId="35" xfId="0" applyFont="1" applyFill="1" applyBorder="1" applyAlignment="1" applyProtection="1">
      <alignment horizontal="left"/>
    </xf>
    <xf numFmtId="3" fontId="2" fillId="2" borderId="40" xfId="0" applyNumberFormat="1" applyFont="1" applyFill="1" applyBorder="1" applyAlignment="1" applyProtection="1">
      <alignment horizontal="right"/>
      <protection locked="0"/>
    </xf>
    <xf numFmtId="0" fontId="3" fillId="20" borderId="12" xfId="0" applyFont="1" applyFill="1" applyBorder="1" applyAlignment="1" applyProtection="1">
      <alignment horizontal="left"/>
    </xf>
    <xf numFmtId="0" fontId="5" fillId="20" borderId="25" xfId="0" applyFont="1" applyFill="1" applyBorder="1" applyAlignment="1" applyProtection="1">
      <alignment horizontal="left"/>
    </xf>
    <xf numFmtId="3" fontId="2" fillId="2" borderId="202" xfId="0" applyNumberFormat="1" applyFont="1" applyFill="1" applyBorder="1" applyAlignment="1" applyProtection="1">
      <alignment horizontal="right"/>
      <protection locked="0"/>
    </xf>
    <xf numFmtId="0" fontId="3" fillId="20" borderId="163" xfId="0" applyFont="1" applyFill="1" applyBorder="1" applyAlignment="1" applyProtection="1">
      <alignment horizontal="left" wrapText="1"/>
    </xf>
    <xf numFmtId="49" fontId="8" fillId="0" borderId="203" xfId="0" applyNumberFormat="1" applyFont="1" applyFill="1" applyBorder="1" applyAlignment="1" applyProtection="1">
      <alignment horizontal="center"/>
    </xf>
    <xf numFmtId="49" fontId="3" fillId="0" borderId="203" xfId="0" applyNumberFormat="1" applyFont="1" applyFill="1" applyBorder="1" applyAlignment="1" applyProtection="1">
      <alignment horizontal="center" wrapText="1"/>
    </xf>
    <xf numFmtId="49" fontId="3" fillId="0" borderId="203" xfId="0" applyNumberFormat="1" applyFont="1" applyFill="1" applyBorder="1" applyAlignment="1" applyProtection="1">
      <alignment horizontal="left"/>
    </xf>
    <xf numFmtId="3" fontId="3" fillId="20" borderId="15" xfId="0" applyNumberFormat="1" applyFont="1" applyFill="1" applyBorder="1" applyAlignment="1" applyProtection="1">
      <alignment horizontal="left" wrapText="1"/>
    </xf>
    <xf numFmtId="0" fontId="69" fillId="2" borderId="0" xfId="0" applyFont="1" applyFill="1" applyAlignment="1" applyProtection="1"/>
    <xf numFmtId="3" fontId="5" fillId="20" borderId="118" xfId="0" applyNumberFormat="1" applyFont="1" applyFill="1" applyBorder="1" applyAlignment="1" applyProtection="1">
      <alignment horizontal="left"/>
    </xf>
    <xf numFmtId="3" fontId="5" fillId="20" borderId="15" xfId="0" applyNumberFormat="1" applyFont="1" applyFill="1" applyBorder="1" applyAlignment="1" applyProtection="1">
      <alignment horizontal="left" vertical="top" wrapText="1"/>
    </xf>
    <xf numFmtId="49" fontId="3" fillId="20" borderId="42" xfId="0" applyNumberFormat="1" applyFont="1" applyFill="1" applyBorder="1" applyAlignment="1" applyProtection="1">
      <alignment horizontal="left"/>
    </xf>
    <xf numFmtId="3" fontId="13" fillId="9" borderId="63" xfId="0" applyNumberFormat="1" applyFont="1" applyFill="1" applyBorder="1" applyProtection="1"/>
    <xf numFmtId="0" fontId="9" fillId="0" borderId="0" xfId="0" applyFont="1" applyFill="1" applyProtection="1"/>
    <xf numFmtId="3" fontId="10" fillId="0" borderId="5" xfId="0" quotePrefix="1" applyNumberFormat="1" applyFont="1" applyFill="1" applyBorder="1" applyAlignment="1" applyProtection="1">
      <alignment horizontal="right"/>
      <protection locked="0"/>
    </xf>
    <xf numFmtId="0" fontId="16" fillId="2" borderId="0" xfId="0" applyFont="1" applyFill="1" applyBorder="1" applyAlignment="1" applyProtection="1"/>
    <xf numFmtId="3" fontId="115" fillId="20" borderId="0" xfId="0" applyNumberFormat="1" applyFont="1" applyFill="1" applyBorder="1" applyAlignment="1" applyProtection="1"/>
    <xf numFmtId="3" fontId="115" fillId="20" borderId="44" xfId="0" applyNumberFormat="1" applyFont="1" applyFill="1" applyBorder="1" applyAlignment="1" applyProtection="1"/>
    <xf numFmtId="0" fontId="116" fillId="2" borderId="0" xfId="0" applyFont="1" applyFill="1" applyBorder="1" applyProtection="1"/>
    <xf numFmtId="165" fontId="7" fillId="0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3" fillId="2" borderId="1" xfId="0" applyFont="1" applyFill="1" applyBorder="1" applyProtection="1"/>
    <xf numFmtId="3" fontId="9" fillId="2" borderId="114" xfId="0" applyNumberFormat="1" applyFont="1" applyFill="1" applyBorder="1" applyProtection="1">
      <protection locked="0"/>
    </xf>
    <xf numFmtId="3" fontId="9" fillId="2" borderId="71" xfId="0" applyNumberFormat="1" applyFont="1" applyFill="1" applyBorder="1" applyProtection="1">
      <protection locked="0"/>
    </xf>
    <xf numFmtId="0" fontId="3" fillId="20" borderId="134" xfId="0" applyFont="1" applyFill="1" applyBorder="1" applyAlignment="1" applyProtection="1">
      <alignment horizontal="center"/>
    </xf>
    <xf numFmtId="0" fontId="109" fillId="0" borderId="0" xfId="0" applyFont="1" applyFill="1" applyAlignment="1" applyProtection="1">
      <alignment wrapText="1"/>
    </xf>
    <xf numFmtId="3" fontId="3" fillId="20" borderId="9" xfId="0" applyNumberFormat="1" applyFont="1" applyFill="1" applyBorder="1" applyProtection="1"/>
    <xf numFmtId="3" fontId="9" fillId="20" borderId="0" xfId="0" applyNumberFormat="1" applyFont="1" applyFill="1" applyBorder="1" applyProtection="1"/>
    <xf numFmtId="3" fontId="9" fillId="20" borderId="39" xfId="0" applyNumberFormat="1" applyFont="1" applyFill="1" applyBorder="1" applyProtection="1"/>
    <xf numFmtId="3" fontId="7" fillId="20" borderId="0" xfId="0" applyNumberFormat="1" applyFont="1" applyFill="1" applyBorder="1" applyProtection="1"/>
    <xf numFmtId="3" fontId="7" fillId="20" borderId="0" xfId="0" applyNumberFormat="1" applyFont="1" applyFill="1" applyBorder="1" applyAlignment="1" applyProtection="1">
      <alignment horizontal="left" vertical="top" wrapText="1"/>
    </xf>
    <xf numFmtId="3" fontId="2" fillId="20" borderId="158" xfId="0" applyNumberFormat="1" applyFont="1" applyFill="1" applyBorder="1" applyAlignment="1" applyProtection="1">
      <alignment horizontal="right"/>
    </xf>
    <xf numFmtId="3" fontId="2" fillId="20" borderId="131" xfId="0" applyNumberFormat="1" applyFont="1" applyFill="1" applyBorder="1" applyAlignment="1" applyProtection="1">
      <alignment horizontal="right"/>
    </xf>
    <xf numFmtId="3" fontId="2" fillId="21" borderId="158" xfId="0" applyNumberFormat="1" applyFont="1" applyFill="1" applyBorder="1" applyAlignment="1" applyProtection="1">
      <alignment horizontal="left"/>
    </xf>
    <xf numFmtId="3" fontId="2" fillId="21" borderId="45" xfId="0" applyNumberFormat="1" applyFont="1" applyFill="1" applyBorder="1" applyAlignment="1" applyProtection="1">
      <alignment horizontal="right"/>
    </xf>
    <xf numFmtId="0" fontId="9" fillId="30" borderId="204" xfId="0" applyFont="1" applyFill="1" applyBorder="1" applyAlignment="1" applyProtection="1">
      <alignment horizontal="left" vertical="center"/>
    </xf>
    <xf numFmtId="0" fontId="90" fillId="30" borderId="204" xfId="0" applyFont="1" applyFill="1" applyBorder="1" applyAlignment="1" applyProtection="1">
      <alignment horizontal="left" vertical="center"/>
    </xf>
    <xf numFmtId="0" fontId="15" fillId="29" borderId="117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wrapText="1"/>
    </xf>
    <xf numFmtId="0" fontId="22" fillId="20" borderId="58" xfId="5" applyFill="1" applyBorder="1" applyAlignment="1" applyProtection="1">
      <alignment wrapText="1"/>
    </xf>
    <xf numFmtId="0" fontId="22" fillId="20" borderId="44" xfId="5" applyFill="1" applyBorder="1" applyAlignment="1" applyProtection="1">
      <alignment wrapText="1"/>
    </xf>
    <xf numFmtId="49" fontId="5" fillId="20" borderId="147" xfId="0" applyNumberFormat="1" applyFont="1" applyFill="1" applyBorder="1" applyAlignment="1" applyProtection="1">
      <alignment horizontal="center"/>
    </xf>
    <xf numFmtId="49" fontId="5" fillId="20" borderId="90" xfId="0" applyNumberFormat="1" applyFont="1" applyFill="1" applyBorder="1" applyAlignment="1" applyProtection="1">
      <alignment horizontal="center"/>
    </xf>
    <xf numFmtId="0" fontId="3" fillId="20" borderId="206" xfId="0" applyFont="1" applyFill="1" applyBorder="1" applyAlignment="1" applyProtection="1">
      <alignment horizontal="center"/>
    </xf>
    <xf numFmtId="49" fontId="3" fillId="20" borderId="150" xfId="0" applyNumberFormat="1" applyFont="1" applyFill="1" applyBorder="1" applyAlignment="1" applyProtection="1">
      <alignment horizontal="center"/>
    </xf>
    <xf numFmtId="49" fontId="3" fillId="20" borderId="161" xfId="0" applyNumberFormat="1" applyFont="1" applyFill="1" applyBorder="1" applyAlignment="1" applyProtection="1">
      <alignment horizontal="center"/>
    </xf>
    <xf numFmtId="0" fontId="3" fillId="20" borderId="35" xfId="0" applyFont="1" applyFill="1" applyBorder="1" applyAlignment="1" applyProtection="1">
      <alignment horizontal="center"/>
    </xf>
    <xf numFmtId="0" fontId="3" fillId="20" borderId="70" xfId="0" applyFont="1" applyFill="1" applyBorder="1" applyAlignment="1" applyProtection="1">
      <alignment horizontal="center"/>
    </xf>
    <xf numFmtId="3" fontId="3" fillId="20" borderId="27" xfId="0" applyNumberFormat="1" applyFont="1" applyFill="1" applyBorder="1" applyAlignment="1" applyProtection="1"/>
    <xf numFmtId="49" fontId="3" fillId="20" borderId="58" xfId="0" applyNumberFormat="1" applyFont="1" applyFill="1" applyBorder="1" applyAlignment="1" applyProtection="1">
      <alignment horizontal="left" vertical="top"/>
    </xf>
    <xf numFmtId="49" fontId="3" fillId="20" borderId="142" xfId="0" applyNumberFormat="1" applyFont="1" applyFill="1" applyBorder="1" applyAlignment="1" applyProtection="1">
      <alignment horizontal="left" vertical="top"/>
    </xf>
    <xf numFmtId="0" fontId="29" fillId="7" borderId="0" xfId="0" applyFont="1" applyFill="1" applyBorder="1" applyProtection="1"/>
    <xf numFmtId="1" fontId="15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 wrapText="1"/>
    </xf>
    <xf numFmtId="3" fontId="8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1" fontId="3" fillId="0" borderId="0" xfId="0" applyNumberFormat="1" applyFont="1" applyFill="1" applyBorder="1" applyAlignment="1" applyProtection="1">
      <alignment horizontal="center" vertical="top" wrapText="1"/>
    </xf>
    <xf numFmtId="2" fontId="3" fillId="0" borderId="0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alignment horizontal="center" wrapText="1"/>
    </xf>
    <xf numFmtId="49" fontId="115" fillId="0" borderId="0" xfId="0" applyNumberFormat="1" applyFont="1" applyFill="1" applyBorder="1" applyAlignment="1" applyProtection="1">
      <alignment horizontal="center" wrapText="1"/>
    </xf>
    <xf numFmtId="1" fontId="115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3" fontId="2" fillId="2" borderId="114" xfId="0" applyNumberFormat="1" applyFont="1" applyFill="1" applyBorder="1" applyAlignment="1" applyProtection="1">
      <alignment horizontal="right"/>
      <protection locked="0"/>
    </xf>
    <xf numFmtId="3" fontId="2" fillId="2" borderId="6" xfId="0" applyNumberFormat="1" applyFont="1" applyFill="1" applyBorder="1" applyAlignment="1" applyProtection="1">
      <alignment horizontal="right"/>
      <protection locked="0"/>
    </xf>
    <xf numFmtId="49" fontId="3" fillId="20" borderId="35" xfId="0" applyNumberFormat="1" applyFont="1" applyFill="1" applyBorder="1" applyAlignment="1" applyProtection="1">
      <alignment horizontal="left" wrapText="1"/>
    </xf>
    <xf numFmtId="3" fontId="5" fillId="20" borderId="157" xfId="5" applyNumberFormat="1" applyFont="1" applyFill="1" applyBorder="1" applyAlignment="1" applyProtection="1">
      <alignment vertical="top"/>
    </xf>
    <xf numFmtId="3" fontId="4" fillId="0" borderId="0" xfId="0" applyNumberFormat="1" applyFont="1" applyFill="1" applyBorder="1" applyProtection="1"/>
    <xf numFmtId="49" fontId="12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0" fillId="20" borderId="150" xfId="0" applyFill="1" applyBorder="1" applyAlignment="1">
      <alignment vertical="center"/>
    </xf>
    <xf numFmtId="0" fontId="0" fillId="20" borderId="42" xfId="0" applyFill="1" applyBorder="1" applyAlignment="1">
      <alignment vertical="center"/>
    </xf>
    <xf numFmtId="0" fontId="7" fillId="20" borderId="42" xfId="0" applyFont="1" applyFill="1" applyBorder="1" applyAlignment="1" applyProtection="1"/>
    <xf numFmtId="0" fontId="0" fillId="20" borderId="162" xfId="0" applyFill="1" applyBorder="1" applyAlignment="1" applyProtection="1">
      <alignment wrapText="1"/>
    </xf>
    <xf numFmtId="0" fontId="0" fillId="20" borderId="42" xfId="0" applyFill="1" applyBorder="1" applyAlignment="1">
      <alignment vertical="center" wrapText="1"/>
    </xf>
    <xf numFmtId="0" fontId="7" fillId="20" borderId="42" xfId="0" applyFont="1" applyFill="1" applyBorder="1" applyProtection="1"/>
    <xf numFmtId="0" fontId="0" fillId="20" borderId="142" xfId="0" applyFill="1" applyBorder="1" applyAlignment="1">
      <alignment horizontal="left" vertical="center"/>
    </xf>
    <xf numFmtId="0" fontId="0" fillId="20" borderId="1" xfId="0" applyFill="1" applyBorder="1" applyAlignment="1">
      <alignment horizontal="left" vertical="center"/>
    </xf>
    <xf numFmtId="0" fontId="0" fillId="20" borderId="89" xfId="0" applyFill="1" applyBorder="1" applyAlignment="1">
      <alignment horizontal="left" vertical="center"/>
    </xf>
    <xf numFmtId="0" fontId="0" fillId="20" borderId="90" xfId="0" applyFill="1" applyBorder="1" applyAlignment="1">
      <alignment horizontal="left" wrapText="1"/>
    </xf>
    <xf numFmtId="0" fontId="5" fillId="20" borderId="158" xfId="0" applyFont="1" applyFill="1" applyBorder="1" applyAlignment="1" applyProtection="1">
      <alignment vertical="top" wrapText="1"/>
    </xf>
    <xf numFmtId="0" fontId="3" fillId="20" borderId="16" xfId="0" applyFont="1" applyFill="1" applyBorder="1" applyAlignment="1" applyProtection="1">
      <alignment vertical="center"/>
    </xf>
    <xf numFmtId="0" fontId="3" fillId="20" borderId="15" xfId="0" applyFont="1" applyFill="1" applyBorder="1" applyAlignment="1" applyProtection="1">
      <alignment vertical="center"/>
    </xf>
    <xf numFmtId="0" fontId="3" fillId="20" borderId="15" xfId="0" applyFont="1" applyFill="1" applyBorder="1" applyAlignment="1" applyProtection="1">
      <alignment vertical="center" wrapText="1"/>
    </xf>
    <xf numFmtId="0" fontId="0" fillId="20" borderId="191" xfId="0" applyFill="1" applyBorder="1" applyAlignment="1">
      <alignment horizontal="center" vertical="center"/>
    </xf>
    <xf numFmtId="0" fontId="0" fillId="20" borderId="176" xfId="0" applyFill="1" applyBorder="1" applyAlignment="1" applyProtection="1">
      <alignment vertical="top" wrapText="1"/>
    </xf>
    <xf numFmtId="0" fontId="3" fillId="20" borderId="123" xfId="0" applyFont="1" applyFill="1" applyBorder="1" applyAlignment="1" applyProtection="1">
      <alignment vertical="top"/>
    </xf>
    <xf numFmtId="0" fontId="3" fillId="20" borderId="68" xfId="0" applyFont="1" applyFill="1" applyBorder="1" applyAlignment="1" applyProtection="1">
      <alignment horizontal="left" vertical="top" wrapText="1"/>
    </xf>
    <xf numFmtId="0" fontId="15" fillId="20" borderId="168" xfId="0" applyFont="1" applyFill="1" applyBorder="1" applyAlignment="1" applyProtection="1">
      <alignment horizontal="center" vertical="center" wrapText="1"/>
    </xf>
    <xf numFmtId="0" fontId="7" fillId="20" borderId="159" xfId="0" applyFont="1" applyFill="1" applyBorder="1" applyAlignment="1" applyProtection="1"/>
    <xf numFmtId="0" fontId="3" fillId="20" borderId="15" xfId="0" applyFont="1" applyFill="1" applyBorder="1" applyAlignment="1" applyProtection="1"/>
    <xf numFmtId="0" fontId="3" fillId="20" borderId="128" xfId="0" applyFont="1" applyFill="1" applyBorder="1" applyAlignment="1" applyProtection="1">
      <alignment horizontal="left" vertical="top" wrapText="1"/>
    </xf>
    <xf numFmtId="0" fontId="3" fillId="20" borderId="58" xfId="0" applyFont="1" applyFill="1" applyBorder="1" applyAlignment="1" applyProtection="1">
      <alignment horizontal="left" vertical="center"/>
    </xf>
    <xf numFmtId="0" fontId="3" fillId="20" borderId="0" xfId="0" applyFont="1" applyFill="1" applyBorder="1" applyAlignment="1" applyProtection="1">
      <alignment horizontal="left" vertical="center"/>
    </xf>
    <xf numFmtId="0" fontId="3" fillId="20" borderId="154" xfId="0" applyFont="1" applyFill="1" applyBorder="1" applyAlignment="1" applyProtection="1">
      <alignment horizontal="left" vertical="center"/>
    </xf>
    <xf numFmtId="0" fontId="3" fillId="20" borderId="60" xfId="0" applyFont="1" applyFill="1" applyBorder="1" applyAlignment="1" applyProtection="1">
      <alignment horizontal="left" wrapText="1"/>
    </xf>
    <xf numFmtId="3" fontId="3" fillId="20" borderId="159" xfId="5" applyNumberFormat="1" applyFont="1" applyFill="1" applyBorder="1" applyAlignment="1" applyProtection="1"/>
    <xf numFmtId="3" fontId="5" fillId="20" borderId="159" xfId="5" applyNumberFormat="1" applyFont="1" applyFill="1" applyBorder="1" applyAlignment="1" applyProtection="1">
      <alignment vertical="top" wrapText="1"/>
    </xf>
    <xf numFmtId="49" fontId="3" fillId="20" borderId="176" xfId="5" applyNumberFormat="1" applyFont="1" applyFill="1" applyBorder="1" applyProtection="1"/>
    <xf numFmtId="3" fontId="3" fillId="20" borderId="168" xfId="5" applyNumberFormat="1" applyFont="1" applyFill="1" applyBorder="1" applyAlignment="1" applyProtection="1"/>
    <xf numFmtId="0" fontId="3" fillId="20" borderId="191" xfId="5" applyFont="1" applyFill="1" applyBorder="1" applyAlignment="1" applyProtection="1">
      <alignment horizontal="left" vertical="center"/>
    </xf>
    <xf numFmtId="0" fontId="5" fillId="20" borderId="161" xfId="5" applyFont="1" applyFill="1" applyBorder="1" applyAlignment="1" applyProtection="1">
      <alignment vertical="top"/>
    </xf>
    <xf numFmtId="0" fontId="3" fillId="20" borderId="68" xfId="0" applyFont="1" applyFill="1" applyBorder="1" applyAlignment="1" applyProtection="1">
      <alignment vertical="top"/>
    </xf>
    <xf numFmtId="0" fontId="5" fillId="20" borderId="27" xfId="5" applyFont="1" applyFill="1" applyBorder="1" applyAlignment="1" applyProtection="1"/>
    <xf numFmtId="0" fontId="3" fillId="20" borderId="15" xfId="5" applyFont="1" applyFill="1" applyBorder="1" applyAlignment="1" applyProtection="1">
      <alignment horizontal="right"/>
    </xf>
    <xf numFmtId="0" fontId="3" fillId="20" borderId="154" xfId="5" applyFont="1" applyFill="1" applyBorder="1" applyAlignment="1" applyProtection="1"/>
    <xf numFmtId="0" fontId="3" fillId="20" borderId="15" xfId="5" applyFont="1" applyFill="1" applyBorder="1" applyAlignment="1" applyProtection="1"/>
    <xf numFmtId="0" fontId="3" fillId="20" borderId="15" xfId="5" applyFont="1" applyFill="1" applyBorder="1" applyAlignment="1" applyProtection="1">
      <alignment horizontal="left" vertical="top" wrapText="1"/>
    </xf>
    <xf numFmtId="0" fontId="3" fillId="20" borderId="16" xfId="5" applyFont="1" applyFill="1" applyBorder="1" applyAlignment="1" applyProtection="1">
      <alignment horizontal="left" vertical="top" wrapText="1"/>
    </xf>
    <xf numFmtId="49" fontId="3" fillId="20" borderId="159" xfId="5" applyNumberFormat="1" applyFont="1" applyFill="1" applyBorder="1" applyAlignment="1" applyProtection="1">
      <alignment vertical="top"/>
    </xf>
    <xf numFmtId="0" fontId="0" fillId="20" borderId="15" xfId="0" applyFill="1" applyBorder="1" applyAlignment="1">
      <alignment vertical="top" wrapText="1"/>
    </xf>
    <xf numFmtId="0" fontId="0" fillId="20" borderId="42" xfId="0" applyFill="1" applyBorder="1" applyAlignment="1">
      <alignment vertical="top" wrapText="1"/>
    </xf>
    <xf numFmtId="0" fontId="3" fillId="20" borderId="176" xfId="0" applyFont="1" applyFill="1" applyBorder="1" applyAlignment="1" applyProtection="1">
      <alignment horizontal="left" vertical="center"/>
    </xf>
    <xf numFmtId="3" fontId="108" fillId="0" borderId="58" xfId="0" applyNumberFormat="1" applyFont="1" applyFill="1" applyBorder="1" applyProtection="1"/>
    <xf numFmtId="3" fontId="3" fillId="31" borderId="42" xfId="0" applyNumberFormat="1" applyFont="1" applyFill="1" applyBorder="1" applyAlignment="1" applyProtection="1">
      <alignment horizontal="left" vertical="top" wrapText="1"/>
    </xf>
    <xf numFmtId="3" fontId="3" fillId="20" borderId="42" xfId="0" applyNumberFormat="1" applyFont="1" applyFill="1" applyBorder="1" applyAlignment="1" applyProtection="1">
      <alignment horizontal="left" vertical="top"/>
    </xf>
    <xf numFmtId="0" fontId="0" fillId="20" borderId="44" xfId="0" applyFill="1" applyBorder="1" applyProtection="1"/>
    <xf numFmtId="3" fontId="5" fillId="20" borderId="207" xfId="0" applyNumberFormat="1" applyFont="1" applyFill="1" applyBorder="1" applyAlignment="1" applyProtection="1">
      <alignment horizontal="left" vertical="center" wrapText="1"/>
    </xf>
    <xf numFmtId="3" fontId="5" fillId="20" borderId="92" xfId="0" applyNumberFormat="1" applyFont="1" applyFill="1" applyBorder="1" applyAlignment="1" applyProtection="1">
      <alignment vertical="top" wrapText="1"/>
    </xf>
    <xf numFmtId="0" fontId="3" fillId="20" borderId="133" xfId="0" applyFont="1" applyFill="1" applyBorder="1" applyProtection="1"/>
    <xf numFmtId="3" fontId="9" fillId="2" borderId="205" xfId="0" applyNumberFormat="1" applyFont="1" applyFill="1" applyBorder="1" applyProtection="1">
      <protection locked="0"/>
    </xf>
    <xf numFmtId="0" fontId="5" fillId="20" borderId="96" xfId="5" applyFont="1" applyFill="1" applyBorder="1" applyProtection="1"/>
    <xf numFmtId="0" fontId="5" fillId="20" borderId="44" xfId="5" applyFont="1" applyFill="1" applyBorder="1" applyProtection="1"/>
    <xf numFmtId="0" fontId="5" fillId="20" borderId="27" xfId="5" applyFont="1" applyFill="1" applyBorder="1" applyAlignment="1" applyProtection="1">
      <alignment horizontal="left"/>
    </xf>
    <xf numFmtId="0" fontId="5" fillId="20" borderId="190" xfId="5" applyFont="1" applyFill="1" applyBorder="1" applyAlignment="1" applyProtection="1">
      <alignment horizontal="left"/>
    </xf>
    <xf numFmtId="0" fontId="3" fillId="20" borderId="56" xfId="5" applyFont="1" applyFill="1" applyBorder="1" applyAlignment="1" applyProtection="1">
      <alignment vertical="top"/>
    </xf>
    <xf numFmtId="0" fontId="3" fillId="20" borderId="56" xfId="5" applyFont="1" applyFill="1" applyBorder="1" applyAlignment="1" applyProtection="1">
      <alignment horizontal="left" vertical="center"/>
    </xf>
    <xf numFmtId="3" fontId="3" fillId="20" borderId="44" xfId="5" applyNumberFormat="1" applyFont="1" applyFill="1" applyBorder="1" applyAlignment="1" applyProtection="1">
      <alignment wrapText="1"/>
    </xf>
    <xf numFmtId="3" fontId="3" fillId="20" borderId="44" xfId="5" applyNumberFormat="1" applyFont="1" applyFill="1" applyBorder="1" applyAlignment="1" applyProtection="1">
      <alignment vertical="center" wrapText="1"/>
    </xf>
    <xf numFmtId="0" fontId="5" fillId="20" borderId="190" xfId="0" applyFont="1" applyFill="1" applyBorder="1" applyAlignment="1" applyProtection="1">
      <alignment horizontal="left"/>
    </xf>
    <xf numFmtId="0" fontId="5" fillId="20" borderId="96" xfId="0" applyFont="1" applyFill="1" applyBorder="1" applyAlignment="1" applyProtection="1">
      <alignment horizontal="left"/>
    </xf>
    <xf numFmtId="0" fontId="5" fillId="20" borderId="27" xfId="0" applyFont="1" applyFill="1" applyBorder="1" applyAlignment="1" applyProtection="1">
      <alignment horizontal="left"/>
    </xf>
    <xf numFmtId="0" fontId="5" fillId="20" borderId="44" xfId="0" applyFont="1" applyFill="1" applyBorder="1" applyAlignment="1" applyProtection="1">
      <alignment horizontal="left"/>
    </xf>
    <xf numFmtId="0" fontId="3" fillId="20" borderId="159" xfId="0" applyFont="1" applyFill="1" applyBorder="1" applyAlignment="1" applyProtection="1">
      <alignment horizontal="center"/>
    </xf>
    <xf numFmtId="0" fontId="3" fillId="20" borderId="56" xfId="5" applyFont="1" applyFill="1" applyBorder="1" applyAlignment="1" applyProtection="1">
      <alignment vertical="top" wrapText="1"/>
    </xf>
    <xf numFmtId="0" fontId="3" fillId="20" borderId="62" xfId="5" applyFont="1" applyFill="1" applyBorder="1" applyProtection="1"/>
    <xf numFmtId="1" fontId="3" fillId="20" borderId="16" xfId="5" applyNumberFormat="1" applyFont="1" applyFill="1" applyBorder="1" applyAlignment="1" applyProtection="1">
      <alignment horizontal="center"/>
    </xf>
    <xf numFmtId="1" fontId="3" fillId="20" borderId="168" xfId="5" applyNumberFormat="1" applyFont="1" applyFill="1" applyBorder="1" applyAlignment="1" applyProtection="1">
      <alignment horizontal="center"/>
    </xf>
    <xf numFmtId="3" fontId="5" fillId="20" borderId="176" xfId="5" applyNumberFormat="1" applyFont="1" applyFill="1" applyBorder="1" applyAlignment="1" applyProtection="1">
      <alignment vertical="top"/>
    </xf>
    <xf numFmtId="3" fontId="5" fillId="20" borderId="44" xfId="5" applyNumberFormat="1" applyFont="1" applyFill="1" applyBorder="1" applyAlignment="1" applyProtection="1">
      <alignment vertical="center"/>
    </xf>
    <xf numFmtId="3" fontId="5" fillId="20" borderId="44" xfId="0" applyNumberFormat="1" applyFont="1" applyFill="1" applyBorder="1" applyAlignment="1" applyProtection="1">
      <alignment vertical="center"/>
    </xf>
    <xf numFmtId="3" fontId="5" fillId="20" borderId="176" xfId="0" applyNumberFormat="1" applyFont="1" applyFill="1" applyBorder="1" applyAlignment="1" applyProtection="1">
      <alignment vertical="top"/>
    </xf>
    <xf numFmtId="0" fontId="3" fillId="20" borderId="159" xfId="5" applyFont="1" applyFill="1" applyBorder="1" applyAlignment="1" applyProtection="1">
      <alignment vertical="top" wrapText="1"/>
    </xf>
    <xf numFmtId="0" fontId="3" fillId="20" borderId="159" xfId="5" applyFont="1" applyFill="1" applyBorder="1" applyAlignment="1" applyProtection="1">
      <alignment vertical="center" wrapText="1"/>
    </xf>
    <xf numFmtId="0" fontId="3" fillId="10" borderId="58" xfId="0" applyFont="1" applyFill="1" applyBorder="1" applyAlignment="1" applyProtection="1">
      <alignment horizontal="center"/>
    </xf>
    <xf numFmtId="0" fontId="5" fillId="20" borderId="15" xfId="0" applyFont="1" applyFill="1" applyBorder="1" applyAlignment="1" applyProtection="1">
      <alignment horizontal="left" vertical="center" wrapText="1"/>
    </xf>
    <xf numFmtId="3" fontId="2" fillId="20" borderId="50" xfId="0" applyNumberFormat="1" applyFont="1" applyFill="1" applyBorder="1" applyAlignment="1" applyProtection="1">
      <alignment horizontal="right"/>
    </xf>
    <xf numFmtId="3" fontId="16" fillId="20" borderId="7" xfId="0" applyNumberFormat="1" applyFont="1" applyFill="1" applyBorder="1" applyProtection="1"/>
    <xf numFmtId="3" fontId="42" fillId="20" borderId="5" xfId="0" applyNumberFormat="1" applyFont="1" applyFill="1" applyBorder="1" applyProtection="1"/>
    <xf numFmtId="3" fontId="89" fillId="20" borderId="5" xfId="0" applyNumberFormat="1" applyFont="1" applyFill="1" applyBorder="1" applyProtection="1"/>
    <xf numFmtId="0" fontId="2" fillId="20" borderId="7" xfId="0" applyFont="1" applyFill="1" applyBorder="1" applyAlignment="1" applyProtection="1">
      <alignment vertical="top"/>
    </xf>
    <xf numFmtId="0" fontId="2" fillId="20" borderId="5" xfId="0" applyFont="1" applyFill="1" applyBorder="1" applyAlignment="1" applyProtection="1">
      <alignment vertical="top"/>
    </xf>
    <xf numFmtId="0" fontId="19" fillId="20" borderId="0" xfId="0" applyFont="1" applyFill="1" applyBorder="1" applyProtection="1"/>
    <xf numFmtId="0" fontId="19" fillId="20" borderId="15" xfId="0" applyFont="1" applyFill="1" applyBorder="1" applyProtection="1"/>
    <xf numFmtId="0" fontId="4" fillId="20" borderId="15" xfId="0" applyFont="1" applyFill="1" applyBorder="1" applyProtection="1"/>
    <xf numFmtId="0" fontId="8" fillId="20" borderId="209" xfId="0" applyFont="1" applyFill="1" applyBorder="1" applyAlignment="1" applyProtection="1">
      <alignment horizontal="left"/>
    </xf>
    <xf numFmtId="0" fontId="8" fillId="20" borderId="66" xfId="0" applyFont="1" applyFill="1" applyBorder="1" applyAlignment="1" applyProtection="1">
      <alignment horizontal="left"/>
    </xf>
    <xf numFmtId="0" fontId="3" fillId="20" borderId="66" xfId="0" applyFont="1" applyFill="1" applyBorder="1" applyAlignment="1" applyProtection="1">
      <alignment horizontal="left"/>
    </xf>
    <xf numFmtId="0" fontId="2" fillId="20" borderId="106" xfId="0" applyFont="1" applyFill="1" applyBorder="1" applyAlignment="1" applyProtection="1">
      <alignment vertical="top"/>
    </xf>
    <xf numFmtId="0" fontId="2" fillId="20" borderId="70" xfId="0" applyFont="1" applyFill="1" applyBorder="1" applyAlignment="1" applyProtection="1">
      <alignment vertical="top"/>
    </xf>
    <xf numFmtId="3" fontId="45" fillId="20" borderId="7" xfId="0" applyNumberFormat="1" applyFont="1" applyFill="1" applyBorder="1" applyProtection="1"/>
    <xf numFmtId="3" fontId="42" fillId="20" borderId="8" xfId="0" applyNumberFormat="1" applyFont="1" applyFill="1" applyBorder="1" applyProtection="1"/>
    <xf numFmtId="3" fontId="89" fillId="20" borderId="8" xfId="0" applyNumberFormat="1" applyFont="1" applyFill="1" applyBorder="1" applyProtection="1"/>
    <xf numFmtId="3" fontId="42" fillId="20" borderId="7" xfId="0" applyNumberFormat="1" applyFont="1" applyFill="1" applyBorder="1" applyProtection="1"/>
    <xf numFmtId="3" fontId="2" fillId="20" borderId="7" xfId="0" applyNumberFormat="1" applyFont="1" applyFill="1" applyBorder="1" applyAlignment="1" applyProtection="1">
      <alignment vertical="top"/>
    </xf>
    <xf numFmtId="3" fontId="40" fillId="20" borderId="29" xfId="0" applyNumberFormat="1" applyFont="1" applyFill="1" applyBorder="1" applyAlignment="1" applyProtection="1">
      <alignment vertical="top" wrapText="1"/>
    </xf>
    <xf numFmtId="3" fontId="2" fillId="20" borderId="46" xfId="0" applyNumberFormat="1" applyFont="1" applyFill="1" applyBorder="1" applyAlignment="1" applyProtection="1">
      <alignment horizontal="right"/>
    </xf>
    <xf numFmtId="3" fontId="40" fillId="20" borderId="146" xfId="0" applyNumberFormat="1" applyFont="1" applyFill="1" applyBorder="1" applyAlignment="1" applyProtection="1">
      <alignment vertical="top" wrapText="1"/>
    </xf>
    <xf numFmtId="168" fontId="39" fillId="20" borderId="158" xfId="0" applyNumberFormat="1" applyFont="1" applyFill="1" applyBorder="1" applyProtection="1"/>
    <xf numFmtId="3" fontId="10" fillId="20" borderId="7" xfId="0" applyNumberFormat="1" applyFont="1" applyFill="1" applyBorder="1" applyAlignment="1" applyProtection="1">
      <alignment vertical="top"/>
      <protection locked="0"/>
    </xf>
    <xf numFmtId="3" fontId="10" fillId="20" borderId="5" xfId="0" applyNumberFormat="1" applyFont="1" applyFill="1" applyBorder="1" applyAlignment="1" applyProtection="1">
      <alignment vertical="top"/>
      <protection locked="0"/>
    </xf>
    <xf numFmtId="0" fontId="2" fillId="20" borderId="5" xfId="0" applyFont="1" applyFill="1" applyBorder="1" applyAlignment="1" applyProtection="1">
      <alignment vertical="top"/>
      <protection locked="0"/>
    </xf>
    <xf numFmtId="0" fontId="2" fillId="20" borderId="161" xfId="0" applyFont="1" applyFill="1" applyBorder="1" applyAlignment="1" applyProtection="1">
      <alignment vertical="top"/>
      <protection locked="0"/>
    </xf>
    <xf numFmtId="0" fontId="2" fillId="20" borderId="68" xfId="0" applyFont="1" applyFill="1" applyBorder="1" applyAlignment="1" applyProtection="1">
      <alignment vertical="top"/>
      <protection locked="0"/>
    </xf>
    <xf numFmtId="3" fontId="16" fillId="20" borderId="14" xfId="0" applyNumberFormat="1" applyFont="1" applyFill="1" applyBorder="1" applyProtection="1"/>
    <xf numFmtId="3" fontId="42" fillId="20" borderId="17" xfId="0" applyNumberFormat="1" applyFont="1" applyFill="1" applyBorder="1" applyProtection="1"/>
    <xf numFmtId="3" fontId="89" fillId="20" borderId="17" xfId="0" applyNumberFormat="1" applyFont="1" applyFill="1" applyBorder="1" applyProtection="1"/>
    <xf numFmtId="3" fontId="2" fillId="20" borderId="7" xfId="0" applyNumberFormat="1" applyFont="1" applyFill="1" applyBorder="1" applyAlignment="1" applyProtection="1">
      <alignment vertical="top"/>
      <protection locked="0"/>
    </xf>
    <xf numFmtId="0" fontId="14" fillId="20" borderId="94" xfId="0" applyFont="1" applyFill="1" applyBorder="1" applyAlignment="1" applyProtection="1">
      <alignment wrapText="1"/>
    </xf>
    <xf numFmtId="0" fontId="9" fillId="20" borderId="192" xfId="0" applyFont="1" applyFill="1" applyBorder="1" applyProtection="1"/>
    <xf numFmtId="3" fontId="108" fillId="20" borderId="7" xfId="0" applyNumberFormat="1" applyFont="1" applyFill="1" applyBorder="1" applyProtection="1"/>
    <xf numFmtId="3" fontId="110" fillId="20" borderId="5" xfId="0" applyNumberFormat="1" applyFont="1" applyFill="1" applyBorder="1" applyProtection="1"/>
    <xf numFmtId="3" fontId="23" fillId="20" borderId="5" xfId="0" applyNumberFormat="1" applyFont="1" applyFill="1" applyBorder="1" applyProtection="1"/>
    <xf numFmtId="3" fontId="43" fillId="20" borderId="161" xfId="0" applyNumberFormat="1" applyFont="1" applyFill="1" applyBorder="1" applyProtection="1"/>
    <xf numFmtId="3" fontId="43" fillId="20" borderId="128" xfId="0" applyNumberFormat="1" applyFont="1" applyFill="1" applyBorder="1" applyProtection="1"/>
    <xf numFmtId="3" fontId="2" fillId="20" borderId="46" xfId="0" applyNumberFormat="1" applyFont="1" applyFill="1" applyBorder="1" applyAlignment="1" applyProtection="1">
      <alignment horizontal="right" vertical="top" wrapText="1"/>
    </xf>
    <xf numFmtId="3" fontId="40" fillId="20" borderId="22" xfId="0" applyNumberFormat="1" applyFont="1" applyFill="1" applyBorder="1" applyAlignment="1" applyProtection="1">
      <alignment vertical="top"/>
    </xf>
    <xf numFmtId="0" fontId="9" fillId="20" borderId="5" xfId="0" applyFont="1" applyFill="1" applyBorder="1" applyAlignment="1" applyProtection="1">
      <alignment vertical="top"/>
    </xf>
    <xf numFmtId="3" fontId="3" fillId="20" borderId="133" xfId="0" applyNumberFormat="1" applyFont="1" applyFill="1" applyBorder="1" applyProtection="1"/>
    <xf numFmtId="3" fontId="43" fillId="20" borderId="16" xfId="0" applyNumberFormat="1" applyFont="1" applyFill="1" applyBorder="1" applyProtection="1"/>
    <xf numFmtId="3" fontId="43" fillId="20" borderId="68" xfId="0" applyNumberFormat="1" applyFont="1" applyFill="1" applyBorder="1" applyProtection="1"/>
    <xf numFmtId="0" fontId="9" fillId="20" borderId="7" xfId="0" applyFont="1" applyFill="1" applyBorder="1" applyAlignment="1" applyProtection="1">
      <alignment vertical="top"/>
    </xf>
    <xf numFmtId="3" fontId="117" fillId="3" borderId="63" xfId="0" applyNumberFormat="1" applyFont="1" applyFill="1" applyBorder="1" applyAlignment="1" applyProtection="1">
      <alignment horizontal="right"/>
    </xf>
    <xf numFmtId="3" fontId="117" fillId="3" borderId="208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/>
    <xf numFmtId="3" fontId="8" fillId="0" borderId="0" xfId="0" applyNumberFormat="1" applyFont="1" applyFill="1" applyBorder="1" applyAlignment="1" applyProtection="1"/>
    <xf numFmtId="3" fontId="8" fillId="20" borderId="12" xfId="0" applyNumberFormat="1" applyFont="1" applyFill="1" applyBorder="1" applyAlignment="1" applyProtection="1"/>
    <xf numFmtId="1" fontId="8" fillId="20" borderId="35" xfId="0" applyNumberFormat="1" applyFont="1" applyFill="1" applyBorder="1" applyAlignment="1" applyProtection="1">
      <alignment horizontal="center"/>
    </xf>
    <xf numFmtId="1" fontId="3" fillId="20" borderId="35" xfId="0" applyNumberFormat="1" applyFont="1" applyFill="1" applyBorder="1" applyAlignment="1" applyProtection="1">
      <alignment horizontal="left"/>
    </xf>
    <xf numFmtId="3" fontId="13" fillId="2" borderId="64" xfId="0" applyNumberFormat="1" applyFont="1" applyFill="1" applyBorder="1" applyAlignment="1" applyProtection="1">
      <alignment horizontal="right"/>
      <protection locked="0"/>
    </xf>
    <xf numFmtId="0" fontId="109" fillId="0" borderId="0" xfId="0" applyFont="1" applyFill="1" applyProtection="1"/>
    <xf numFmtId="0" fontId="109" fillId="0" borderId="0" xfId="0" applyFont="1" applyFill="1" applyBorder="1" applyProtection="1"/>
    <xf numFmtId="0" fontId="109" fillId="2" borderId="0" xfId="0" applyFont="1" applyFill="1" applyBorder="1" applyProtection="1"/>
    <xf numFmtId="3" fontId="109" fillId="2" borderId="0" xfId="0" applyNumberFormat="1" applyFont="1" applyFill="1" applyBorder="1" applyProtection="1"/>
    <xf numFmtId="0" fontId="22" fillId="20" borderId="5" xfId="0" applyFont="1" applyFill="1" applyBorder="1" applyProtection="1"/>
    <xf numFmtId="0" fontId="1" fillId="20" borderId="5" xfId="0" applyFont="1" applyFill="1" applyBorder="1" applyProtection="1"/>
    <xf numFmtId="3" fontId="118" fillId="20" borderId="5" xfId="0" applyNumberFormat="1" applyFont="1" applyFill="1" applyBorder="1" applyAlignment="1" applyProtection="1"/>
    <xf numFmtId="3" fontId="43" fillId="22" borderId="138" xfId="0" applyNumberFormat="1" applyFont="1" applyFill="1" applyBorder="1" applyProtection="1"/>
    <xf numFmtId="3" fontId="34" fillId="2" borderId="0" xfId="0" applyNumberFormat="1" applyFont="1" applyFill="1" applyAlignment="1" applyProtection="1">
      <alignment vertical="top" wrapText="1"/>
    </xf>
    <xf numFmtId="0" fontId="113" fillId="0" borderId="0" xfId="0" applyFont="1" applyFill="1" applyProtection="1"/>
    <xf numFmtId="0" fontId="3" fillId="20" borderId="25" xfId="5" applyFont="1" applyFill="1" applyBorder="1" applyProtection="1"/>
    <xf numFmtId="3" fontId="108" fillId="0" borderId="0" xfId="0" applyNumberFormat="1" applyFont="1" applyFill="1" applyBorder="1" applyAlignment="1" applyProtection="1">
      <alignment vertical="top"/>
    </xf>
    <xf numFmtId="3" fontId="2" fillId="0" borderId="18" xfId="0" applyNumberFormat="1" applyFont="1" applyFill="1" applyBorder="1" applyProtection="1">
      <protection locked="0"/>
    </xf>
    <xf numFmtId="3" fontId="9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49" fontId="3" fillId="20" borderId="210" xfId="0" applyNumberFormat="1" applyFont="1" applyFill="1" applyBorder="1" applyAlignment="1" applyProtection="1">
      <alignment horizontal="left"/>
    </xf>
    <xf numFmtId="0" fontId="49" fillId="2" borderId="169" xfId="0" applyFont="1" applyFill="1" applyBorder="1" applyProtection="1"/>
    <xf numFmtId="0" fontId="49" fillId="2" borderId="167" xfId="0" applyFont="1" applyFill="1" applyBorder="1" applyProtection="1"/>
    <xf numFmtId="3" fontId="2" fillId="2" borderId="43" xfId="0" applyNumberFormat="1" applyFont="1" applyFill="1" applyBorder="1" applyAlignment="1" applyProtection="1">
      <alignment horizontal="right"/>
      <protection locked="0"/>
    </xf>
    <xf numFmtId="0" fontId="0" fillId="2" borderId="57" xfId="0" applyFill="1" applyBorder="1" applyProtection="1"/>
    <xf numFmtId="0" fontId="2" fillId="0" borderId="0" xfId="0" applyFont="1" applyBorder="1" applyAlignment="1" applyProtection="1">
      <alignment wrapText="1"/>
      <protection locked="0"/>
    </xf>
    <xf numFmtId="0" fontId="49" fillId="2" borderId="1" xfId="0" applyFont="1" applyFill="1" applyBorder="1" applyProtection="1"/>
    <xf numFmtId="0" fontId="0" fillId="2" borderId="62" xfId="0" applyFill="1" applyBorder="1" applyProtection="1"/>
    <xf numFmtId="49" fontId="3" fillId="0" borderId="203" xfId="0" applyNumberFormat="1" applyFont="1" applyFill="1" applyBorder="1" applyAlignment="1" applyProtection="1">
      <alignment horizontal="center"/>
    </xf>
    <xf numFmtId="0" fontId="49" fillId="2" borderId="43" xfId="0" applyFont="1" applyFill="1" applyBorder="1" applyProtection="1"/>
    <xf numFmtId="3" fontId="2" fillId="9" borderId="85" xfId="0" applyNumberFormat="1" applyFont="1" applyFill="1" applyBorder="1" applyProtection="1"/>
    <xf numFmtId="3" fontId="13" fillId="2" borderId="35" xfId="0" applyNumberFormat="1" applyFont="1" applyFill="1" applyBorder="1" applyAlignment="1" applyProtection="1">
      <alignment horizontal="right"/>
      <protection locked="0"/>
    </xf>
    <xf numFmtId="3" fontId="13" fillId="2" borderId="40" xfId="0" applyNumberFormat="1" applyFont="1" applyFill="1" applyBorder="1" applyAlignment="1" applyProtection="1">
      <alignment horizontal="right"/>
      <protection locked="0"/>
    </xf>
    <xf numFmtId="0" fontId="3" fillId="20" borderId="133" xfId="0" applyFont="1" applyFill="1" applyBorder="1" applyAlignment="1" applyProtection="1">
      <alignment horizontal="center"/>
    </xf>
    <xf numFmtId="3" fontId="2" fillId="0" borderId="36" xfId="0" applyNumberFormat="1" applyFont="1" applyFill="1" applyBorder="1" applyProtection="1"/>
    <xf numFmtId="0" fontId="108" fillId="2" borderId="0" xfId="0" applyFont="1" applyFill="1" applyBorder="1" applyProtection="1"/>
    <xf numFmtId="166" fontId="5" fillId="20" borderId="147" xfId="0" applyNumberFormat="1" applyFont="1" applyFill="1" applyBorder="1" applyAlignment="1" applyProtection="1">
      <alignment horizontal="left"/>
    </xf>
    <xf numFmtId="3" fontId="13" fillId="2" borderId="107" xfId="0" applyNumberFormat="1" applyFont="1" applyFill="1" applyBorder="1" applyAlignment="1" applyProtection="1">
      <alignment horizontal="right"/>
      <protection locked="0"/>
    </xf>
    <xf numFmtId="166" fontId="5" fillId="20" borderId="95" xfId="0" applyNumberFormat="1" applyFont="1" applyFill="1" applyBorder="1" applyAlignment="1" applyProtection="1">
      <alignment horizontal="left"/>
    </xf>
    <xf numFmtId="166" fontId="3" fillId="20" borderId="56" xfId="0" applyNumberFormat="1" applyFont="1" applyFill="1" applyBorder="1" applyAlignment="1" applyProtection="1">
      <alignment horizontal="left"/>
    </xf>
    <xf numFmtId="0" fontId="3" fillId="20" borderId="34" xfId="0" applyNumberFormat="1" applyFont="1" applyFill="1" applyBorder="1" applyAlignment="1" applyProtection="1">
      <alignment horizontal="center"/>
    </xf>
    <xf numFmtId="49" fontId="3" fillId="20" borderId="35" xfId="0" applyNumberFormat="1" applyFont="1" applyFill="1" applyBorder="1" applyAlignment="1" applyProtection="1">
      <alignment horizontal="center" wrapText="1"/>
    </xf>
    <xf numFmtId="3" fontId="2" fillId="9" borderId="26" xfId="0" applyNumberFormat="1" applyFont="1" applyFill="1" applyBorder="1" applyAlignment="1" applyProtection="1"/>
    <xf numFmtId="1" fontId="119" fillId="20" borderId="90" xfId="0" applyNumberFormat="1" applyFont="1" applyFill="1" applyBorder="1" applyAlignment="1" applyProtection="1">
      <alignment horizontal="left" vertical="top" wrapText="1"/>
    </xf>
    <xf numFmtId="0" fontId="3" fillId="20" borderId="197" xfId="0" applyFont="1" applyFill="1" applyBorder="1" applyAlignment="1" applyProtection="1">
      <alignment wrapText="1"/>
    </xf>
    <xf numFmtId="0" fontId="3" fillId="20" borderId="205" xfId="0" applyFont="1" applyFill="1" applyBorder="1" applyAlignment="1" applyProtection="1">
      <alignment horizontal="left" wrapText="1"/>
    </xf>
    <xf numFmtId="0" fontId="121" fillId="20" borderId="150" xfId="0" applyFont="1" applyFill="1" applyBorder="1" applyProtection="1"/>
    <xf numFmtId="3" fontId="2" fillId="3" borderId="114" xfId="0" applyNumberFormat="1" applyFont="1" applyFill="1" applyBorder="1" applyProtection="1"/>
    <xf numFmtId="3" fontId="2" fillId="3" borderId="7" xfId="0" applyNumberFormat="1" applyFont="1" applyFill="1" applyBorder="1" applyProtection="1"/>
    <xf numFmtId="3" fontId="10" fillId="2" borderId="6" xfId="0" quotePrefix="1" applyNumberFormat="1" applyFont="1" applyFill="1" applyBorder="1" applyAlignment="1" applyProtection="1">
      <alignment horizontal="right"/>
      <protection locked="0"/>
    </xf>
    <xf numFmtId="3" fontId="10" fillId="0" borderId="6" xfId="0" quotePrefix="1" applyNumberFormat="1" applyFont="1" applyFill="1" applyBorder="1" applyAlignment="1" applyProtection="1">
      <alignment horizontal="right"/>
      <protection locked="0"/>
    </xf>
    <xf numFmtId="3" fontId="2" fillId="9" borderId="177" xfId="0" applyNumberFormat="1" applyFont="1" applyFill="1" applyBorder="1" applyAlignment="1" applyProtection="1"/>
    <xf numFmtId="3" fontId="2" fillId="9" borderId="91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left" vertical="top"/>
    </xf>
    <xf numFmtId="3" fontId="2" fillId="0" borderId="18" xfId="5" applyNumberFormat="1" applyFont="1" applyFill="1" applyBorder="1" applyAlignment="1" applyProtection="1">
      <alignment horizontal="right"/>
      <protection locked="0"/>
    </xf>
    <xf numFmtId="0" fontId="3" fillId="20" borderId="23" xfId="0" applyFont="1" applyFill="1" applyBorder="1" applyAlignment="1" applyProtection="1">
      <alignment horizontal="left" vertical="top" wrapText="1"/>
    </xf>
    <xf numFmtId="0" fontId="3" fillId="20" borderId="23" xfId="5" applyFont="1" applyFill="1" applyBorder="1" applyAlignment="1" applyProtection="1">
      <alignment horizontal="left" vertical="top" wrapText="1"/>
    </xf>
    <xf numFmtId="0" fontId="2" fillId="0" borderId="0" xfId="0" quotePrefix="1" applyFont="1" applyFill="1" applyBorder="1" applyAlignment="1" applyProtection="1">
      <alignment vertical="top"/>
    </xf>
    <xf numFmtId="49" fontId="3" fillId="20" borderId="0" xfId="5" applyNumberFormat="1" applyFont="1" applyFill="1" applyBorder="1" applyAlignment="1" applyProtection="1">
      <alignment horizontal="center"/>
    </xf>
    <xf numFmtId="0" fontId="3" fillId="20" borderId="36" xfId="5" applyFont="1" applyFill="1" applyBorder="1" applyAlignment="1" applyProtection="1">
      <alignment horizontal="left" vertical="top" wrapText="1"/>
    </xf>
    <xf numFmtId="0" fontId="5" fillId="20" borderId="15" xfId="5" applyFont="1" applyFill="1" applyBorder="1" applyProtection="1"/>
    <xf numFmtId="0" fontId="3" fillId="20" borderId="42" xfId="5" applyFont="1" applyFill="1" applyBorder="1" applyProtection="1"/>
    <xf numFmtId="3" fontId="2" fillId="3" borderId="63" xfId="5" applyNumberFormat="1" applyFont="1" applyFill="1" applyBorder="1" applyAlignment="1" applyProtection="1">
      <alignment horizontal="right"/>
    </xf>
    <xf numFmtId="0" fontId="34" fillId="2" borderId="0" xfId="5" applyFont="1" applyFill="1" applyBorder="1" applyAlignment="1" applyProtection="1">
      <alignment horizontal="left" vertical="top"/>
    </xf>
    <xf numFmtId="3" fontId="2" fillId="3" borderId="84" xfId="5" applyNumberFormat="1" applyFont="1" applyFill="1" applyBorder="1" applyAlignment="1" applyProtection="1">
      <alignment horizontal="right"/>
    </xf>
    <xf numFmtId="0" fontId="5" fillId="20" borderId="118" xfId="5" applyFont="1" applyFill="1" applyBorder="1" applyAlignment="1" applyProtection="1">
      <alignment horizontal="left"/>
    </xf>
    <xf numFmtId="0" fontId="2" fillId="0" borderId="0" xfId="5" applyFont="1" applyFill="1" applyBorder="1" applyAlignment="1" applyProtection="1">
      <alignment vertical="top"/>
    </xf>
    <xf numFmtId="0" fontId="3" fillId="20" borderId="15" xfId="5" applyFont="1" applyFill="1" applyBorder="1" applyProtection="1"/>
    <xf numFmtId="3" fontId="2" fillId="0" borderId="2" xfId="5" applyNumberFormat="1" applyFont="1" applyFill="1" applyBorder="1" applyAlignment="1" applyProtection="1">
      <alignment horizontal="right"/>
      <protection locked="0"/>
    </xf>
    <xf numFmtId="3" fontId="2" fillId="0" borderId="15" xfId="5" applyNumberFormat="1" applyFont="1" applyFill="1" applyBorder="1" applyAlignment="1" applyProtection="1">
      <alignment horizontal="right"/>
      <protection locked="0"/>
    </xf>
    <xf numFmtId="3" fontId="2" fillId="0" borderId="60" xfId="5" applyNumberFormat="1" applyFont="1" applyFill="1" applyBorder="1" applyAlignment="1" applyProtection="1">
      <alignment horizontal="right"/>
      <protection locked="0"/>
    </xf>
    <xf numFmtId="0" fontId="1" fillId="2" borderId="0" xfId="5" applyFont="1" applyFill="1" applyAlignment="1" applyProtection="1">
      <alignment vertical="top"/>
    </xf>
    <xf numFmtId="3" fontId="34" fillId="2" borderId="0" xfId="5" applyNumberFormat="1" applyFont="1" applyFill="1" applyAlignment="1" applyProtection="1">
      <alignment vertical="top"/>
    </xf>
    <xf numFmtId="0" fontId="66" fillId="2" borderId="0" xfId="5" applyFont="1" applyFill="1" applyAlignment="1" applyProtection="1">
      <alignment vertical="top"/>
    </xf>
    <xf numFmtId="0" fontId="22" fillId="2" borderId="0" xfId="5" applyFill="1" applyBorder="1" applyAlignment="1" applyProtection="1">
      <alignment horizontal="left" vertical="top"/>
    </xf>
    <xf numFmtId="0" fontId="22" fillId="2" borderId="0" xfId="5" applyFill="1" applyAlignment="1" applyProtection="1">
      <alignment vertical="top"/>
    </xf>
    <xf numFmtId="0" fontId="67" fillId="2" borderId="0" xfId="5" applyFont="1" applyFill="1" applyAlignment="1" applyProtection="1">
      <alignment vertical="top"/>
    </xf>
    <xf numFmtId="3" fontId="3" fillId="20" borderId="20" xfId="0" applyNumberFormat="1" applyFont="1" applyFill="1" applyBorder="1" applyAlignment="1" applyProtection="1">
      <alignment horizontal="center"/>
    </xf>
    <xf numFmtId="3" fontId="2" fillId="20" borderId="35" xfId="5" applyNumberFormat="1" applyFont="1" applyFill="1" applyBorder="1" applyProtection="1"/>
    <xf numFmtId="3" fontId="3" fillId="20" borderId="159" xfId="5" applyNumberFormat="1" applyFont="1" applyFill="1" applyBorder="1" applyProtection="1"/>
    <xf numFmtId="0" fontId="7" fillId="20" borderId="176" xfId="5" applyFont="1" applyFill="1" applyBorder="1" applyProtection="1"/>
    <xf numFmtId="3" fontId="2" fillId="20" borderId="5" xfId="5" applyNumberFormat="1" applyFont="1" applyFill="1" applyBorder="1" applyProtection="1"/>
    <xf numFmtId="3" fontId="40" fillId="20" borderId="39" xfId="5" applyNumberFormat="1" applyFont="1" applyFill="1" applyBorder="1" applyAlignment="1" applyProtection="1">
      <alignment horizontal="right"/>
    </xf>
    <xf numFmtId="168" fontId="39" fillId="20" borderId="150" xfId="5" applyNumberFormat="1" applyFont="1" applyFill="1" applyBorder="1" applyProtection="1"/>
    <xf numFmtId="168" fontId="39" fillId="20" borderId="191" xfId="5" applyNumberFormat="1" applyFont="1" applyFill="1" applyBorder="1" applyProtection="1"/>
    <xf numFmtId="0" fontId="3" fillId="20" borderId="157" xfId="5" applyFont="1" applyFill="1" applyBorder="1" applyProtection="1"/>
    <xf numFmtId="3" fontId="5" fillId="20" borderId="111" xfId="5" applyNumberFormat="1" applyFont="1" applyFill="1" applyBorder="1" applyAlignment="1" applyProtection="1">
      <alignment vertical="top"/>
    </xf>
    <xf numFmtId="3" fontId="3" fillId="20" borderId="0" xfId="5" applyNumberFormat="1" applyFont="1" applyFill="1" applyBorder="1" applyAlignment="1" applyProtection="1">
      <alignment vertical="top"/>
    </xf>
    <xf numFmtId="168" fontId="3" fillId="20" borderId="1" xfId="5" applyNumberFormat="1" applyFont="1" applyFill="1" applyBorder="1" applyProtection="1"/>
    <xf numFmtId="3" fontId="2" fillId="20" borderId="68" xfId="5" applyNumberFormat="1" applyFont="1" applyFill="1" applyBorder="1" applyProtection="1"/>
    <xf numFmtId="3" fontId="43" fillId="20" borderId="35" xfId="5" quotePrefix="1" applyNumberFormat="1" applyFont="1" applyFill="1" applyBorder="1" applyAlignment="1" applyProtection="1">
      <alignment horizontal="right"/>
    </xf>
    <xf numFmtId="3" fontId="43" fillId="20" borderId="35" xfId="5" applyNumberFormat="1" applyFont="1" applyFill="1" applyBorder="1" applyProtection="1"/>
    <xf numFmtId="3" fontId="3" fillId="20" borderId="173" xfId="5" applyNumberFormat="1" applyFont="1" applyFill="1" applyBorder="1" applyAlignment="1" applyProtection="1">
      <alignment vertical="top" wrapText="1"/>
    </xf>
    <xf numFmtId="0" fontId="3" fillId="20" borderId="169" xfId="5" applyFont="1" applyFill="1" applyBorder="1" applyAlignment="1" applyProtection="1">
      <alignment vertical="top" wrapText="1"/>
    </xf>
    <xf numFmtId="3" fontId="3" fillId="20" borderId="159" xfId="5" applyNumberFormat="1" applyFont="1" applyFill="1" applyBorder="1" applyAlignment="1" applyProtection="1">
      <alignment vertical="center"/>
    </xf>
    <xf numFmtId="0" fontId="3" fillId="20" borderId="16" xfId="5" applyFont="1" applyFill="1" applyBorder="1" applyAlignment="1" applyProtection="1">
      <alignment horizontal="left" vertical="center"/>
    </xf>
    <xf numFmtId="0" fontId="3" fillId="20" borderId="16" xfId="5" applyFont="1" applyFill="1" applyBorder="1" applyAlignment="1" applyProtection="1">
      <alignment vertical="top"/>
    </xf>
    <xf numFmtId="3" fontId="2" fillId="20" borderId="15" xfId="5" applyNumberFormat="1" applyFont="1" applyFill="1" applyBorder="1" applyProtection="1"/>
    <xf numFmtId="3" fontId="2" fillId="20" borderId="13" xfId="5" applyNumberFormat="1" applyFont="1" applyFill="1" applyBorder="1" applyProtection="1"/>
    <xf numFmtId="0" fontId="3" fillId="20" borderId="190" xfId="0" applyFont="1" applyFill="1" applyBorder="1" applyAlignment="1" applyProtection="1"/>
    <xf numFmtId="3" fontId="3" fillId="20" borderId="157" xfId="0" applyNumberFormat="1" applyFont="1" applyFill="1" applyBorder="1" applyAlignment="1" applyProtection="1"/>
    <xf numFmtId="3" fontId="3" fillId="20" borderId="159" xfId="0" applyNumberFormat="1" applyFont="1" applyFill="1" applyBorder="1" applyAlignment="1" applyProtection="1"/>
    <xf numFmtId="0" fontId="0" fillId="2" borderId="0" xfId="0" applyFill="1" applyAlignment="1" applyProtection="1"/>
    <xf numFmtId="0" fontId="3" fillId="20" borderId="118" xfId="0" applyFont="1" applyFill="1" applyBorder="1" applyAlignment="1" applyProtection="1"/>
    <xf numFmtId="3" fontId="5" fillId="20" borderId="96" xfId="0" applyNumberFormat="1" applyFont="1" applyFill="1" applyBorder="1" applyAlignment="1" applyProtection="1"/>
    <xf numFmtId="3" fontId="2" fillId="9" borderId="5" xfId="0" applyNumberFormat="1" applyFont="1" applyFill="1" applyBorder="1" applyAlignment="1" applyProtection="1"/>
    <xf numFmtId="0" fontId="3" fillId="20" borderId="56" xfId="0" applyFont="1" applyFill="1" applyBorder="1" applyAlignment="1" applyProtection="1"/>
    <xf numFmtId="0" fontId="3" fillId="20" borderId="111" xfId="5" applyFont="1" applyFill="1" applyBorder="1" applyAlignment="1" applyProtection="1"/>
    <xf numFmtId="0" fontId="3" fillId="20" borderId="62" xfId="5" applyFont="1" applyFill="1" applyBorder="1" applyAlignment="1" applyProtection="1"/>
    <xf numFmtId="0" fontId="3" fillId="20" borderId="0" xfId="0" applyFont="1" applyFill="1" applyBorder="1" applyAlignment="1" applyProtection="1"/>
    <xf numFmtId="0" fontId="3" fillId="20" borderId="168" xfId="0" applyFont="1" applyFill="1" applyBorder="1" applyAlignment="1" applyProtection="1"/>
    <xf numFmtId="0" fontId="3" fillId="20" borderId="159" xfId="0" applyFont="1" applyFill="1" applyBorder="1" applyAlignment="1" applyProtection="1"/>
    <xf numFmtId="0" fontId="3" fillId="20" borderId="147" xfId="0" applyFont="1" applyFill="1" applyBorder="1" applyAlignment="1" applyProtection="1"/>
    <xf numFmtId="0" fontId="5" fillId="20" borderId="54" xfId="0" applyFont="1" applyFill="1" applyBorder="1" applyAlignment="1" applyProtection="1"/>
    <xf numFmtId="3" fontId="2" fillId="9" borderId="35" xfId="0" applyNumberFormat="1" applyFont="1" applyFill="1" applyBorder="1" applyAlignment="1" applyProtection="1"/>
    <xf numFmtId="3" fontId="2" fillId="9" borderId="136" xfId="0" applyNumberFormat="1" applyFont="1" applyFill="1" applyBorder="1" applyAlignment="1" applyProtection="1"/>
    <xf numFmtId="0" fontId="3" fillId="20" borderId="5" xfId="0" applyFont="1" applyFill="1" applyBorder="1" applyAlignment="1" applyProtection="1"/>
    <xf numFmtId="0" fontId="5" fillId="20" borderId="5" xfId="0" applyFont="1" applyFill="1" applyBorder="1" applyAlignment="1" applyProtection="1"/>
    <xf numFmtId="0" fontId="5" fillId="20" borderId="55" xfId="0" applyFont="1" applyFill="1" applyBorder="1" applyAlignment="1" applyProtection="1"/>
    <xf numFmtId="3" fontId="2" fillId="9" borderId="2" xfId="0" applyNumberFormat="1" applyFont="1" applyFill="1" applyBorder="1" applyAlignment="1" applyProtection="1"/>
    <xf numFmtId="3" fontId="2" fillId="9" borderId="54" xfId="0" applyNumberFormat="1" applyFont="1" applyFill="1" applyBorder="1" applyAlignment="1" applyProtection="1"/>
    <xf numFmtId="0" fontId="3" fillId="20" borderId="2" xfId="0" applyFont="1" applyFill="1" applyBorder="1" applyAlignment="1" applyProtection="1"/>
    <xf numFmtId="0" fontId="5" fillId="20" borderId="2" xfId="0" applyFont="1" applyFill="1" applyBorder="1" applyAlignment="1" applyProtection="1"/>
    <xf numFmtId="0" fontId="5" fillId="20" borderId="13" xfId="0" applyFont="1" applyFill="1" applyBorder="1" applyAlignment="1" applyProtection="1"/>
    <xf numFmtId="0" fontId="5" fillId="20" borderId="15" xfId="0" applyFont="1" applyFill="1" applyBorder="1" applyAlignment="1" applyProtection="1"/>
    <xf numFmtId="0" fontId="10" fillId="0" borderId="0" xfId="0" applyFont="1" applyFill="1" applyBorder="1" applyAlignment="1" applyProtection="1"/>
    <xf numFmtId="0" fontId="22" fillId="0" borderId="0" xfId="0" applyFont="1" applyFill="1" applyAlignment="1" applyProtection="1"/>
    <xf numFmtId="0" fontId="22" fillId="0" borderId="0" xfId="0" applyFont="1" applyFill="1" applyBorder="1" applyAlignment="1" applyProtection="1"/>
    <xf numFmtId="1" fontId="3" fillId="20" borderId="89" xfId="0" applyNumberFormat="1" applyFont="1" applyFill="1" applyBorder="1" applyAlignment="1" applyProtection="1">
      <alignment horizontal="center" vertical="top" wrapText="1"/>
    </xf>
    <xf numFmtId="3" fontId="3" fillId="20" borderId="159" xfId="0" applyNumberFormat="1" applyFont="1" applyFill="1" applyBorder="1" applyAlignment="1" applyProtection="1">
      <alignment vertical="top"/>
    </xf>
    <xf numFmtId="3" fontId="40" fillId="0" borderId="0" xfId="5" applyNumberFormat="1" applyFont="1" applyFill="1" applyBorder="1" applyAlignment="1" applyProtection="1">
      <alignment horizontal="right"/>
    </xf>
    <xf numFmtId="3" fontId="108" fillId="2" borderId="0" xfId="0" applyNumberFormat="1" applyFont="1" applyFill="1" applyProtection="1"/>
    <xf numFmtId="3" fontId="2" fillId="0" borderId="7" xfId="0" applyNumberFormat="1" applyFont="1" applyFill="1" applyBorder="1" applyAlignment="1" applyProtection="1">
      <alignment horizontal="right"/>
      <protection locked="0"/>
    </xf>
    <xf numFmtId="0" fontId="108" fillId="2" borderId="0" xfId="0" applyFont="1" applyFill="1" applyBorder="1" applyAlignment="1" applyProtection="1">
      <alignment horizontal="left"/>
    </xf>
    <xf numFmtId="0" fontId="108" fillId="2" borderId="0" xfId="0" applyFont="1" applyFill="1" applyBorder="1" applyAlignment="1" applyProtection="1"/>
    <xf numFmtId="3" fontId="40" fillId="0" borderId="124" xfId="5" applyNumberFormat="1" applyFont="1" applyFill="1" applyBorder="1" applyAlignment="1" applyProtection="1">
      <alignment horizontal="right"/>
    </xf>
    <xf numFmtId="49" fontId="3" fillId="20" borderId="130" xfId="0" applyNumberFormat="1" applyFont="1" applyFill="1" applyBorder="1" applyAlignment="1" applyProtection="1">
      <alignment horizontal="left"/>
    </xf>
    <xf numFmtId="49" fontId="3" fillId="20" borderId="171" xfId="0" applyNumberFormat="1" applyFont="1" applyFill="1" applyBorder="1" applyProtection="1"/>
    <xf numFmtId="3" fontId="10" fillId="27" borderId="161" xfId="0" applyNumberFormat="1" applyFont="1" applyFill="1" applyBorder="1" applyProtection="1"/>
    <xf numFmtId="3" fontId="10" fillId="27" borderId="68" xfId="0" applyNumberFormat="1" applyFont="1" applyFill="1" applyBorder="1" applyProtection="1"/>
    <xf numFmtId="3" fontId="10" fillId="27" borderId="69" xfId="0" applyNumberFormat="1" applyFont="1" applyFill="1" applyBorder="1" applyProtection="1"/>
    <xf numFmtId="1" fontId="3" fillId="20" borderId="212" xfId="0" applyNumberFormat="1" applyFont="1" applyFill="1" applyBorder="1" applyAlignment="1" applyProtection="1">
      <alignment horizontal="left"/>
    </xf>
    <xf numFmtId="1" fontId="3" fillId="20" borderId="212" xfId="0" applyNumberFormat="1" applyFont="1" applyFill="1" applyBorder="1" applyProtection="1"/>
    <xf numFmtId="1" fontId="2" fillId="20" borderId="213" xfId="0" applyNumberFormat="1" applyFont="1" applyFill="1" applyBorder="1" applyAlignment="1" applyProtection="1"/>
    <xf numFmtId="1" fontId="122" fillId="20" borderId="215" xfId="0" applyNumberFormat="1" applyFont="1" applyFill="1" applyBorder="1" applyProtection="1"/>
    <xf numFmtId="1" fontId="123" fillId="20" borderId="214" xfId="0" applyNumberFormat="1" applyFont="1" applyFill="1" applyBorder="1" applyAlignment="1" applyProtection="1"/>
    <xf numFmtId="1" fontId="122" fillId="20" borderId="216" xfId="0" applyNumberFormat="1" applyFont="1" applyFill="1" applyBorder="1" applyProtection="1"/>
    <xf numFmtId="1" fontId="122" fillId="20" borderId="217" xfId="0" applyNumberFormat="1" applyFont="1" applyFill="1" applyBorder="1" applyProtection="1"/>
    <xf numFmtId="1" fontId="123" fillId="20" borderId="179" xfId="0" applyNumberFormat="1" applyFont="1" applyFill="1" applyBorder="1" applyAlignment="1" applyProtection="1"/>
    <xf numFmtId="1" fontId="123" fillId="20" borderId="39" xfId="0" applyNumberFormat="1" applyFont="1" applyFill="1" applyBorder="1" applyAlignment="1" applyProtection="1"/>
    <xf numFmtId="1" fontId="123" fillId="20" borderId="59" xfId="0" applyNumberFormat="1" applyFont="1" applyFill="1" applyBorder="1" applyAlignment="1" applyProtection="1"/>
    <xf numFmtId="1" fontId="123" fillId="20" borderId="0" xfId="0" applyNumberFormat="1" applyFont="1" applyFill="1" applyBorder="1" applyAlignment="1" applyProtection="1"/>
    <xf numFmtId="0" fontId="115" fillId="20" borderId="39" xfId="0" applyNumberFormat="1" applyFont="1" applyFill="1" applyBorder="1" applyAlignment="1" applyProtection="1"/>
    <xf numFmtId="0" fontId="115" fillId="20" borderId="66" xfId="0" applyNumberFormat="1" applyFont="1" applyFill="1" applyBorder="1" applyAlignment="1" applyProtection="1"/>
    <xf numFmtId="0" fontId="115" fillId="20" borderId="179" xfId="0" applyNumberFormat="1" applyFont="1" applyFill="1" applyBorder="1" applyAlignment="1" applyProtection="1"/>
    <xf numFmtId="49" fontId="123" fillId="20" borderId="39" xfId="0" applyNumberFormat="1" applyFont="1" applyFill="1" applyBorder="1" applyAlignment="1" applyProtection="1"/>
    <xf numFmtId="0" fontId="115" fillId="20" borderId="59" xfId="0" applyNumberFormat="1" applyFont="1" applyFill="1" applyBorder="1" applyAlignment="1" applyProtection="1"/>
    <xf numFmtId="3" fontId="2" fillId="2" borderId="91" xfId="0" applyNumberFormat="1" applyFont="1" applyFill="1" applyBorder="1" applyAlignment="1" applyProtection="1">
      <alignment horizontal="right"/>
      <protection locked="0"/>
    </xf>
    <xf numFmtId="0" fontId="22" fillId="20" borderId="160" xfId="5" applyFont="1" applyFill="1" applyBorder="1" applyAlignment="1" applyProtection="1">
      <alignment horizontal="left" wrapText="1"/>
    </xf>
    <xf numFmtId="168" fontId="39" fillId="20" borderId="160" xfId="5" applyNumberFormat="1" applyFont="1" applyFill="1" applyBorder="1" applyProtection="1"/>
    <xf numFmtId="0" fontId="22" fillId="20" borderId="160" xfId="5" applyFill="1" applyBorder="1" applyProtection="1"/>
    <xf numFmtId="3" fontId="40" fillId="20" borderId="160" xfId="5" applyNumberFormat="1" applyFont="1" applyFill="1" applyBorder="1" applyProtection="1"/>
    <xf numFmtId="3" fontId="2" fillId="20" borderId="32" xfId="5" applyNumberFormat="1" applyFont="1" applyFill="1" applyBorder="1" applyAlignment="1" applyProtection="1">
      <alignment horizontal="right"/>
    </xf>
    <xf numFmtId="3" fontId="2" fillId="20" borderId="31" xfId="5" applyNumberFormat="1" applyFont="1" applyFill="1" applyBorder="1" applyAlignment="1" applyProtection="1">
      <alignment horizontal="right"/>
    </xf>
    <xf numFmtId="3" fontId="2" fillId="20" borderId="33" xfId="5" applyNumberFormat="1" applyFont="1" applyFill="1" applyBorder="1" applyAlignment="1" applyProtection="1">
      <alignment horizontal="right"/>
    </xf>
    <xf numFmtId="3" fontId="2" fillId="20" borderId="119" xfId="5" applyNumberFormat="1" applyFont="1" applyFill="1" applyBorder="1" applyAlignment="1" applyProtection="1">
      <alignment horizontal="right"/>
    </xf>
    <xf numFmtId="3" fontId="2" fillId="20" borderId="103" xfId="5" applyNumberFormat="1" applyFont="1" applyFill="1" applyBorder="1" applyAlignment="1" applyProtection="1">
      <alignment horizontal="right"/>
    </xf>
    <xf numFmtId="3" fontId="2" fillId="20" borderId="211" xfId="5" applyNumberFormat="1" applyFont="1" applyFill="1" applyBorder="1" applyAlignment="1" applyProtection="1">
      <alignment horizontal="right"/>
    </xf>
    <xf numFmtId="3" fontId="2" fillId="20" borderId="208" xfId="5" applyNumberFormat="1" applyFont="1" applyFill="1" applyBorder="1" applyAlignment="1" applyProtection="1">
      <alignment horizontal="right"/>
    </xf>
    <xf numFmtId="3" fontId="2" fillId="20" borderId="33" xfId="5" applyNumberFormat="1" applyFont="1" applyFill="1" applyBorder="1" applyProtection="1"/>
    <xf numFmtId="0" fontId="22" fillId="20" borderId="180" xfId="5" applyFill="1" applyBorder="1" applyProtection="1"/>
    <xf numFmtId="3" fontId="43" fillId="21" borderId="130" xfId="0" applyNumberFormat="1" applyFont="1" applyFill="1" applyBorder="1" applyProtection="1"/>
    <xf numFmtId="0" fontId="0" fillId="0" borderId="57" xfId="0" applyFill="1" applyBorder="1" applyProtection="1"/>
    <xf numFmtId="0" fontId="0" fillId="0" borderId="0" xfId="0" applyBorder="1" applyAlignment="1" applyProtection="1">
      <alignment wrapText="1"/>
      <protection locked="0"/>
    </xf>
    <xf numFmtId="3" fontId="2" fillId="0" borderId="19" xfId="0" applyNumberFormat="1" applyFont="1" applyFill="1" applyBorder="1" applyAlignment="1" applyProtection="1">
      <alignment horizontal="right"/>
      <protection locked="0"/>
    </xf>
    <xf numFmtId="3" fontId="3" fillId="20" borderId="56" xfId="0" applyNumberFormat="1" applyFont="1" applyFill="1" applyBorder="1" applyAlignment="1" applyProtection="1">
      <alignment horizontal="left" wrapText="1"/>
    </xf>
    <xf numFmtId="3" fontId="3" fillId="20" borderId="56" xfId="0" applyNumberFormat="1" applyFont="1" applyFill="1" applyBorder="1" applyAlignment="1" applyProtection="1">
      <alignment horizontal="left" vertical="top"/>
    </xf>
    <xf numFmtId="3" fontId="3" fillId="20" borderId="147" xfId="0" applyNumberFormat="1" applyFont="1" applyFill="1" applyBorder="1" applyAlignment="1" applyProtection="1">
      <alignment horizontal="left" vertical="top"/>
    </xf>
    <xf numFmtId="170" fontId="3" fillId="20" borderId="219" xfId="0" applyNumberFormat="1" applyFont="1" applyFill="1" applyBorder="1" applyAlignment="1" applyProtection="1">
      <alignment horizontal="left"/>
    </xf>
    <xf numFmtId="3" fontId="13" fillId="2" borderId="147" xfId="0" applyNumberFormat="1" applyFont="1" applyFill="1" applyBorder="1" applyAlignment="1" applyProtection="1">
      <alignment horizontal="right"/>
      <protection locked="0"/>
    </xf>
    <xf numFmtId="3" fontId="2" fillId="3" borderId="220" xfId="0" applyNumberFormat="1" applyFont="1" applyFill="1" applyBorder="1" applyAlignment="1" applyProtection="1">
      <alignment horizontal="right"/>
    </xf>
    <xf numFmtId="3" fontId="13" fillId="6" borderId="147" xfId="0" applyNumberFormat="1" applyFont="1" applyFill="1" applyBorder="1" applyAlignment="1" applyProtection="1">
      <alignment horizontal="right"/>
      <protection locked="0"/>
    </xf>
    <xf numFmtId="3" fontId="2" fillId="20" borderId="219" xfId="0" applyNumberFormat="1" applyFont="1" applyFill="1" applyBorder="1" applyAlignment="1" applyProtection="1">
      <alignment horizontal="right"/>
    </xf>
    <xf numFmtId="3" fontId="2" fillId="3" borderId="147" xfId="0" applyNumberFormat="1" applyFont="1" applyFill="1" applyBorder="1" applyAlignment="1" applyProtection="1">
      <alignment horizontal="right"/>
    </xf>
    <xf numFmtId="3" fontId="2" fillId="3" borderId="210" xfId="0" applyNumberFormat="1" applyFont="1" applyFill="1" applyBorder="1" applyAlignment="1" applyProtection="1">
      <alignment horizontal="right"/>
    </xf>
    <xf numFmtId="3" fontId="13" fillId="2" borderId="86" xfId="0" applyNumberFormat="1" applyFont="1" applyFill="1" applyBorder="1" applyAlignment="1" applyProtection="1">
      <alignment horizontal="right"/>
      <protection locked="0"/>
    </xf>
    <xf numFmtId="3" fontId="2" fillId="3" borderId="200" xfId="0" applyNumberFormat="1" applyFont="1" applyFill="1" applyBorder="1" applyAlignment="1" applyProtection="1">
      <alignment horizontal="right"/>
    </xf>
    <xf numFmtId="3" fontId="5" fillId="0" borderId="58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left"/>
    </xf>
    <xf numFmtId="3" fontId="5" fillId="0" borderId="58" xfId="0" applyNumberFormat="1" applyFont="1" applyFill="1" applyBorder="1" applyAlignment="1" applyProtection="1">
      <alignment horizontal="left" vertical="top" wrapText="1"/>
    </xf>
    <xf numFmtId="3" fontId="3" fillId="0" borderId="0" xfId="0" applyNumberFormat="1" applyFont="1" applyFill="1" applyBorder="1" applyAlignment="1" applyProtection="1">
      <alignment horizontal="left" wrapText="1"/>
    </xf>
    <xf numFmtId="0" fontId="5" fillId="0" borderId="58" xfId="0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left" vertical="top"/>
    </xf>
    <xf numFmtId="3" fontId="3" fillId="0" borderId="58" xfId="0" applyNumberFormat="1" applyFont="1" applyFill="1" applyBorder="1" applyAlignment="1" applyProtection="1">
      <alignment horizontal="left" vertical="top" wrapText="1"/>
    </xf>
    <xf numFmtId="170" fontId="3" fillId="0" borderId="58" xfId="0" applyNumberFormat="1" applyFont="1" applyFill="1" applyBorder="1" applyAlignment="1" applyProtection="1">
      <alignment horizontal="left"/>
    </xf>
    <xf numFmtId="170" fontId="3" fillId="0" borderId="0" xfId="0" applyNumberFormat="1" applyFont="1" applyFill="1" applyBorder="1" applyAlignment="1" applyProtection="1">
      <alignment horizontal="left"/>
    </xf>
    <xf numFmtId="3" fontId="108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/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vertical="top"/>
    </xf>
    <xf numFmtId="0" fontId="3" fillId="0" borderId="0" xfId="0" applyFont="1" applyBorder="1" applyAlignment="1" applyProtection="1"/>
    <xf numFmtId="49" fontId="3" fillId="20" borderId="91" xfId="0" applyNumberFormat="1" applyFont="1" applyFill="1" applyBorder="1" applyAlignment="1" applyProtection="1">
      <alignment horizontal="center"/>
    </xf>
    <xf numFmtId="49" fontId="3" fillId="20" borderId="178" xfId="0" applyNumberFormat="1" applyFont="1" applyFill="1" applyBorder="1" applyAlignment="1" applyProtection="1">
      <alignment horizontal="left"/>
    </xf>
    <xf numFmtId="0" fontId="2" fillId="20" borderId="110" xfId="0" applyFont="1" applyFill="1" applyBorder="1" applyProtection="1"/>
    <xf numFmtId="49" fontId="3" fillId="20" borderId="71" xfId="0" applyNumberFormat="1" applyFont="1" applyFill="1" applyBorder="1" applyAlignment="1" applyProtection="1">
      <alignment horizontal="left"/>
    </xf>
    <xf numFmtId="0" fontId="109" fillId="2" borderId="67" xfId="0" applyFont="1" applyFill="1" applyBorder="1" applyProtection="1"/>
    <xf numFmtId="49" fontId="3" fillId="20" borderId="25" xfId="0" applyNumberFormat="1" applyFont="1" applyFill="1" applyBorder="1" applyAlignment="1" applyProtection="1">
      <alignment horizontal="center"/>
    </xf>
    <xf numFmtId="0" fontId="3" fillId="20" borderId="117" xfId="0" applyNumberFormat="1" applyFont="1" applyFill="1" applyBorder="1" applyAlignment="1" applyProtection="1">
      <alignment horizontal="center" vertical="top" wrapText="1"/>
    </xf>
    <xf numFmtId="0" fontId="108" fillId="0" borderId="58" xfId="0" applyNumberFormat="1" applyFont="1" applyFill="1" applyBorder="1" applyAlignment="1" applyProtection="1">
      <alignment horizontal="left"/>
    </xf>
    <xf numFmtId="0" fontId="2" fillId="20" borderId="98" xfId="0" applyFont="1" applyFill="1" applyBorder="1" applyAlignment="1" applyProtection="1">
      <alignment horizontal="left" vertical="top" wrapText="1"/>
    </xf>
    <xf numFmtId="0" fontId="34" fillId="0" borderId="0" xfId="0" applyFont="1" applyFill="1" applyAlignment="1" applyProtection="1"/>
    <xf numFmtId="0" fontId="3" fillId="20" borderId="111" xfId="5" applyFont="1" applyFill="1" applyBorder="1" applyAlignment="1" applyProtection="1">
      <alignment horizontal="left" vertical="top"/>
    </xf>
    <xf numFmtId="3" fontId="43" fillId="20" borderId="9" xfId="5" applyNumberFormat="1" applyFont="1" applyFill="1" applyBorder="1" applyAlignment="1" applyProtection="1">
      <alignment horizontal="right"/>
    </xf>
    <xf numFmtId="0" fontId="3" fillId="20" borderId="3" xfId="0" applyFont="1" applyFill="1" applyBorder="1" applyAlignment="1" applyProtection="1">
      <alignment vertical="top" wrapText="1"/>
    </xf>
    <xf numFmtId="3" fontId="2" fillId="2" borderId="221" xfId="0" applyNumberFormat="1" applyFont="1" applyFill="1" applyBorder="1" applyProtection="1">
      <protection locked="0"/>
    </xf>
    <xf numFmtId="3" fontId="2" fillId="2" borderId="110" xfId="0" applyNumberFormat="1" applyFont="1" applyFill="1" applyBorder="1" applyProtection="1">
      <protection locked="0"/>
    </xf>
    <xf numFmtId="3" fontId="2" fillId="0" borderId="34" xfId="0" applyNumberFormat="1" applyFont="1" applyFill="1" applyBorder="1" applyProtection="1">
      <protection locked="0"/>
    </xf>
    <xf numFmtId="3" fontId="2" fillId="0" borderId="114" xfId="0" applyNumberFormat="1" applyFont="1" applyFill="1" applyBorder="1" applyProtection="1">
      <protection locked="0"/>
    </xf>
    <xf numFmtId="3" fontId="13" fillId="0" borderId="22" xfId="0" applyNumberFormat="1" applyFont="1" applyFill="1" applyBorder="1" applyAlignment="1" applyProtection="1">
      <alignment horizontal="right"/>
      <protection locked="0"/>
    </xf>
    <xf numFmtId="3" fontId="13" fillId="0" borderId="5" xfId="0" applyNumberFormat="1" applyFont="1" applyFill="1" applyBorder="1" applyAlignment="1" applyProtection="1">
      <alignment horizontal="right"/>
      <protection locked="0"/>
    </xf>
    <xf numFmtId="3" fontId="13" fillId="0" borderId="21" xfId="0" applyNumberFormat="1" applyFont="1" applyFill="1" applyBorder="1" applyAlignment="1" applyProtection="1">
      <alignment horizontal="right"/>
      <protection locked="0"/>
    </xf>
    <xf numFmtId="3" fontId="13" fillId="0" borderId="2" xfId="0" applyNumberFormat="1" applyFont="1" applyFill="1" applyBorder="1" applyAlignment="1" applyProtection="1">
      <alignment horizontal="right"/>
      <protection locked="0"/>
    </xf>
    <xf numFmtId="3" fontId="13" fillId="27" borderId="29" xfId="0" applyNumberFormat="1" applyFont="1" applyFill="1" applyBorder="1" applyAlignment="1" applyProtection="1">
      <alignment horizontal="right"/>
    </xf>
    <xf numFmtId="3" fontId="2" fillId="20" borderId="94" xfId="0" applyNumberFormat="1" applyFont="1" applyFill="1" applyBorder="1" applyAlignment="1" applyProtection="1">
      <alignment horizontal="right"/>
    </xf>
    <xf numFmtId="0" fontId="108" fillId="0" borderId="0" xfId="0" applyNumberFormat="1" applyFont="1" applyFill="1" applyBorder="1" applyAlignment="1" applyProtection="1">
      <alignment horizontal="left"/>
    </xf>
    <xf numFmtId="3" fontId="2" fillId="3" borderId="85" xfId="0" applyNumberFormat="1" applyFont="1" applyFill="1" applyBorder="1" applyAlignment="1" applyProtection="1">
      <alignment horizontal="right"/>
    </xf>
    <xf numFmtId="0" fontId="22" fillId="0" borderId="0" xfId="0" quotePrefix="1" applyFont="1" applyBorder="1" applyAlignment="1" applyProtection="1">
      <alignment vertical="top" wrapText="1"/>
    </xf>
    <xf numFmtId="0" fontId="3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3" fillId="20" borderId="20" xfId="5" applyNumberFormat="1" applyFont="1" applyFill="1" applyBorder="1" applyAlignment="1" applyProtection="1">
      <alignment horizontal="center"/>
    </xf>
    <xf numFmtId="3" fontId="122" fillId="21" borderId="42" xfId="0" applyNumberFormat="1" applyFont="1" applyFill="1" applyBorder="1" applyAlignment="1" applyProtection="1">
      <alignment horizontal="right"/>
    </xf>
    <xf numFmtId="3" fontId="2" fillId="32" borderId="113" xfId="5" applyNumberFormat="1" applyFont="1" applyFill="1" applyBorder="1" applyProtection="1"/>
    <xf numFmtId="3" fontId="2" fillId="32" borderId="5" xfId="5" applyNumberFormat="1" applyFont="1" applyFill="1" applyBorder="1" applyAlignment="1" applyProtection="1">
      <alignment horizontal="right"/>
    </xf>
    <xf numFmtId="3" fontId="2" fillId="32" borderId="70" xfId="5" applyNumberFormat="1" applyFont="1" applyFill="1" applyBorder="1" applyAlignment="1" applyProtection="1">
      <alignment horizontal="right"/>
    </xf>
    <xf numFmtId="3" fontId="2" fillId="32" borderId="25" xfId="5" applyNumberFormat="1" applyFont="1" applyFill="1" applyBorder="1" applyAlignment="1" applyProtection="1">
      <alignment horizontal="right"/>
    </xf>
    <xf numFmtId="3" fontId="108" fillId="20" borderId="14" xfId="0" applyNumberFormat="1" applyFont="1" applyFill="1" applyBorder="1" applyProtection="1"/>
    <xf numFmtId="3" fontId="110" fillId="20" borderId="9" xfId="0" applyNumberFormat="1" applyFont="1" applyFill="1" applyBorder="1" applyProtection="1"/>
    <xf numFmtId="3" fontId="111" fillId="20" borderId="9" xfId="0" applyNumberFormat="1" applyFont="1" applyFill="1" applyBorder="1" applyProtection="1"/>
    <xf numFmtId="3" fontId="111" fillId="20" borderId="5" xfId="0" applyNumberFormat="1" applyFont="1" applyFill="1" applyBorder="1" applyProtection="1"/>
    <xf numFmtId="0" fontId="108" fillId="0" borderId="0" xfId="0" applyNumberFormat="1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3" fontId="3" fillId="20" borderId="15" xfId="5" applyNumberFormat="1" applyFont="1" applyFill="1" applyBorder="1" applyAlignment="1" applyProtection="1">
      <alignment vertical="top" wrapText="1"/>
    </xf>
    <xf numFmtId="3" fontId="3" fillId="20" borderId="159" xfId="5" applyNumberFormat="1" applyFont="1" applyFill="1" applyBorder="1" applyAlignment="1" applyProtection="1">
      <alignment vertical="center" wrapText="1"/>
    </xf>
    <xf numFmtId="49" fontId="3" fillId="20" borderId="70" xfId="0" applyNumberFormat="1" applyFont="1" applyFill="1" applyBorder="1" applyAlignment="1" applyProtection="1">
      <alignment horizontal="center"/>
    </xf>
    <xf numFmtId="166" fontId="5" fillId="20" borderId="88" xfId="0" applyNumberFormat="1" applyFont="1" applyFill="1" applyBorder="1" applyAlignment="1" applyProtection="1">
      <alignment horizontal="left"/>
    </xf>
    <xf numFmtId="166" fontId="3" fillId="20" borderId="60" xfId="0" applyNumberFormat="1" applyFont="1" applyFill="1" applyBorder="1" applyAlignment="1" applyProtection="1">
      <alignment horizontal="left"/>
    </xf>
    <xf numFmtId="0" fontId="5" fillId="20" borderId="88" xfId="0" applyFont="1" applyFill="1" applyBorder="1" applyAlignment="1" applyProtection="1">
      <alignment horizontal="left"/>
    </xf>
    <xf numFmtId="0" fontId="120" fillId="20" borderId="101" xfId="0" applyFont="1" applyFill="1" applyBorder="1" applyAlignment="1" applyProtection="1">
      <alignment vertical="top" wrapText="1"/>
    </xf>
    <xf numFmtId="0" fontId="120" fillId="20" borderId="88" xfId="0" applyFont="1" applyFill="1" applyBorder="1" applyAlignment="1" applyProtection="1">
      <alignment vertical="top" wrapText="1"/>
    </xf>
    <xf numFmtId="0" fontId="99" fillId="20" borderId="5" xfId="0" applyFont="1" applyFill="1" applyBorder="1" applyProtection="1"/>
    <xf numFmtId="49" fontId="3" fillId="20" borderId="22" xfId="5" applyNumberFormat="1" applyFont="1" applyFill="1" applyBorder="1" applyAlignment="1" applyProtection="1">
      <alignment horizontal="center"/>
    </xf>
    <xf numFmtId="0" fontId="5" fillId="20" borderId="84" xfId="5" applyFont="1" applyFill="1" applyBorder="1" applyProtection="1"/>
    <xf numFmtId="3" fontId="5" fillId="20" borderId="118" xfId="5" applyNumberFormat="1" applyFont="1" applyFill="1" applyBorder="1" applyAlignment="1" applyProtection="1">
      <alignment horizontal="left" vertical="top" wrapText="1"/>
    </xf>
    <xf numFmtId="3" fontId="5" fillId="20" borderId="88" xfId="5" applyNumberFormat="1" applyFont="1" applyFill="1" applyBorder="1" applyAlignment="1" applyProtection="1">
      <alignment horizontal="left" vertical="top" wrapText="1"/>
    </xf>
    <xf numFmtId="3" fontId="5" fillId="20" borderId="60" xfId="5" applyNumberFormat="1" applyFont="1" applyFill="1" applyBorder="1" applyAlignment="1" applyProtection="1">
      <alignment horizontal="left"/>
    </xf>
    <xf numFmtId="3" fontId="5" fillId="20" borderId="60" xfId="5" quotePrefix="1" applyNumberFormat="1" applyFont="1" applyFill="1" applyBorder="1" applyAlignment="1" applyProtection="1">
      <alignment horizontal="left" vertical="top"/>
    </xf>
    <xf numFmtId="0" fontId="3" fillId="20" borderId="42" xfId="5" applyFont="1" applyFill="1" applyBorder="1" applyAlignment="1" applyProtection="1">
      <alignment horizontal="center" wrapText="1"/>
    </xf>
    <xf numFmtId="3" fontId="3" fillId="20" borderId="90" xfId="5" applyNumberFormat="1" applyFont="1" applyFill="1" applyBorder="1" applyAlignment="1" applyProtection="1">
      <alignment horizontal="center" wrapText="1"/>
    </xf>
    <xf numFmtId="3" fontId="5" fillId="20" borderId="190" xfId="5" applyNumberFormat="1" applyFont="1" applyFill="1" applyBorder="1" applyProtection="1"/>
    <xf numFmtId="3" fontId="5" fillId="20" borderId="0" xfId="5" applyNumberFormat="1" applyFont="1" applyFill="1" applyBorder="1" applyAlignment="1" applyProtection="1">
      <alignment vertical="center"/>
    </xf>
    <xf numFmtId="3" fontId="3" fillId="20" borderId="190" xfId="0" applyNumberFormat="1" applyFont="1" applyFill="1" applyBorder="1" applyAlignment="1" applyProtection="1"/>
    <xf numFmtId="49" fontId="3" fillId="20" borderId="2" xfId="0" applyNumberFormat="1" applyFont="1" applyFill="1" applyBorder="1" applyAlignment="1" applyProtection="1">
      <alignment horizontal="left" vertical="top" wrapText="1"/>
    </xf>
    <xf numFmtId="49" fontId="3" fillId="20" borderId="58" xfId="0" applyNumberFormat="1" applyFont="1" applyFill="1" applyBorder="1" applyAlignment="1" applyProtection="1">
      <alignment horizontal="center"/>
    </xf>
    <xf numFmtId="2" fontId="3" fillId="20" borderId="11" xfId="0" applyNumberFormat="1" applyFont="1" applyFill="1" applyBorder="1" applyAlignment="1" applyProtection="1">
      <alignment horizontal="left"/>
    </xf>
    <xf numFmtId="2" fontId="3" fillId="20" borderId="128" xfId="0" applyNumberFormat="1" applyFont="1" applyFill="1" applyBorder="1" applyAlignment="1" applyProtection="1">
      <alignment horizontal="left"/>
    </xf>
    <xf numFmtId="3" fontId="2" fillId="0" borderId="124" xfId="0" applyNumberFormat="1" applyFont="1" applyFill="1" applyBorder="1" applyAlignment="1" applyProtection="1">
      <alignment horizontal="right"/>
      <protection locked="0"/>
    </xf>
    <xf numFmtId="49" fontId="3" fillId="0" borderId="124" xfId="0" applyNumberFormat="1" applyFont="1" applyFill="1" applyBorder="1" applyAlignment="1" applyProtection="1">
      <alignment horizontal="center"/>
    </xf>
    <xf numFmtId="0" fontId="3" fillId="0" borderId="124" xfId="0" applyFont="1" applyFill="1" applyBorder="1" applyProtection="1"/>
    <xf numFmtId="0" fontId="1" fillId="0" borderId="124" xfId="0" applyFont="1" applyFill="1" applyBorder="1" applyProtection="1"/>
    <xf numFmtId="3" fontId="5" fillId="20" borderId="218" xfId="5" applyNumberFormat="1" applyFont="1" applyFill="1" applyBorder="1" applyAlignment="1" applyProtection="1">
      <alignment horizontal="left" vertical="center" wrapText="1"/>
    </xf>
    <xf numFmtId="0" fontId="126" fillId="20" borderId="2" xfId="5" applyFont="1" applyFill="1" applyBorder="1" applyAlignment="1" applyProtection="1">
      <alignment horizontal="left"/>
    </xf>
    <xf numFmtId="49" fontId="99" fillId="20" borderId="22" xfId="0" applyNumberFormat="1" applyFont="1" applyFill="1" applyBorder="1" applyAlignment="1" applyProtection="1">
      <alignment horizontal="center"/>
    </xf>
    <xf numFmtId="0" fontId="99" fillId="20" borderId="24" xfId="0" applyFont="1" applyFill="1" applyBorder="1" applyAlignment="1" applyProtection="1">
      <alignment horizontal="center"/>
    </xf>
    <xf numFmtId="49" fontId="126" fillId="20" borderId="22" xfId="5" applyNumberFormat="1" applyFont="1" applyFill="1" applyBorder="1" applyAlignment="1" applyProtection="1">
      <alignment horizontal="center"/>
    </xf>
    <xf numFmtId="49" fontId="126" fillId="20" borderId="24" xfId="5" applyNumberFormat="1" applyFont="1" applyFill="1" applyBorder="1" applyAlignment="1" applyProtection="1">
      <alignment horizontal="center"/>
    </xf>
    <xf numFmtId="49" fontId="126" fillId="20" borderId="142" xfId="0" applyNumberFormat="1" applyFont="1" applyFill="1" applyBorder="1" applyAlignment="1" applyProtection="1">
      <alignment horizontal="center"/>
    </xf>
    <xf numFmtId="49" fontId="126" fillId="20" borderId="146" xfId="5" applyNumberFormat="1" applyFont="1" applyFill="1" applyBorder="1" applyAlignment="1" applyProtection="1">
      <alignment horizontal="center"/>
    </xf>
    <xf numFmtId="0" fontId="127" fillId="20" borderId="9" xfId="0" applyFont="1" applyFill="1" applyBorder="1" applyAlignment="1" applyProtection="1">
      <alignment horizontal="left"/>
    </xf>
    <xf numFmtId="0" fontId="126" fillId="20" borderId="5" xfId="0" applyFont="1" applyFill="1" applyBorder="1" applyAlignment="1" applyProtection="1">
      <alignment horizontal="left"/>
    </xf>
    <xf numFmtId="3" fontId="2" fillId="21" borderId="20" xfId="0" applyNumberFormat="1" applyFont="1" applyFill="1" applyBorder="1" applyProtection="1"/>
    <xf numFmtId="0" fontId="126" fillId="20" borderId="25" xfId="0" applyFont="1" applyFill="1" applyBorder="1" applyAlignment="1" applyProtection="1">
      <alignment horizontal="left"/>
    </xf>
    <xf numFmtId="3" fontId="2" fillId="9" borderId="180" xfId="0" applyNumberFormat="1" applyFont="1" applyFill="1" applyBorder="1" applyProtection="1"/>
    <xf numFmtId="3" fontId="2" fillId="20" borderId="32" xfId="0" applyNumberFormat="1" applyFont="1" applyFill="1" applyBorder="1" applyAlignment="1" applyProtection="1">
      <alignment horizontal="right"/>
    </xf>
    <xf numFmtId="3" fontId="2" fillId="0" borderId="19" xfId="0" applyNumberFormat="1" applyFont="1" applyFill="1" applyBorder="1" applyProtection="1">
      <protection locked="0"/>
    </xf>
    <xf numFmtId="3" fontId="2" fillId="0" borderId="26" xfId="0" applyNumberFormat="1" applyFont="1" applyFill="1" applyBorder="1" applyProtection="1">
      <protection locked="0"/>
    </xf>
    <xf numFmtId="0" fontId="61" fillId="20" borderId="27" xfId="0" applyFont="1" applyFill="1" applyBorder="1" applyAlignment="1">
      <alignment horizontal="right" wrapText="1"/>
    </xf>
    <xf numFmtId="0" fontId="115" fillId="20" borderId="27" xfId="0" applyFont="1" applyFill="1" applyBorder="1" applyAlignment="1" applyProtection="1"/>
    <xf numFmtId="0" fontId="0" fillId="20" borderId="0" xfId="0" applyFill="1" applyAlignment="1"/>
    <xf numFmtId="0" fontId="126" fillId="20" borderId="0" xfId="0" applyFont="1" applyFill="1" applyAlignment="1">
      <alignment wrapText="1"/>
    </xf>
    <xf numFmtId="0" fontId="126" fillId="20" borderId="214" xfId="0" applyFont="1" applyFill="1" applyBorder="1" applyAlignment="1">
      <alignment wrapText="1"/>
    </xf>
    <xf numFmtId="0" fontId="128" fillId="20" borderId="0" xfId="0" applyFont="1" applyFill="1" applyAlignment="1">
      <alignment vertical="top" wrapText="1"/>
    </xf>
    <xf numFmtId="0" fontId="128" fillId="20" borderId="0" xfId="0" applyFont="1" applyFill="1" applyAlignment="1">
      <alignment wrapText="1"/>
    </xf>
    <xf numFmtId="0" fontId="127" fillId="20" borderId="0" xfId="0" applyFont="1" applyFill="1" applyAlignment="1">
      <alignment wrapText="1"/>
    </xf>
    <xf numFmtId="0" fontId="108" fillId="20" borderId="0" xfId="0" applyFont="1" applyFill="1" applyBorder="1" applyAlignment="1" applyProtection="1">
      <alignment wrapText="1"/>
    </xf>
    <xf numFmtId="0" fontId="0" fillId="20" borderId="0" xfId="0" applyFill="1" applyAlignment="1">
      <alignment wrapText="1"/>
    </xf>
    <xf numFmtId="0" fontId="0" fillId="20" borderId="0" xfId="0" applyFill="1" applyAlignment="1">
      <alignment horizontal="left" vertical="top" wrapText="1"/>
    </xf>
    <xf numFmtId="0" fontId="126" fillId="20" borderId="39" xfId="0" applyFont="1" applyFill="1" applyBorder="1" applyAlignment="1">
      <alignment wrapText="1"/>
    </xf>
    <xf numFmtId="0" fontId="7" fillId="20" borderId="0" xfId="0" applyFont="1" applyFill="1" applyAlignment="1">
      <alignment wrapText="1"/>
    </xf>
    <xf numFmtId="0" fontId="34" fillId="0" borderId="0" xfId="0" quotePrefix="1" applyFont="1" applyFill="1" applyProtection="1"/>
    <xf numFmtId="0" fontId="98" fillId="0" borderId="0" xfId="0" applyFont="1" applyFill="1" applyAlignment="1" applyProtection="1">
      <alignment wrapText="1"/>
    </xf>
    <xf numFmtId="0" fontId="109" fillId="0" borderId="0" xfId="0" applyFont="1" applyFill="1" applyAlignment="1" applyProtection="1">
      <alignment vertical="top" wrapText="1"/>
    </xf>
    <xf numFmtId="1" fontId="108" fillId="0" borderId="58" xfId="0" applyNumberFormat="1" applyFont="1" applyFill="1" applyBorder="1" applyAlignment="1" applyProtection="1">
      <alignment horizontal="left"/>
    </xf>
    <xf numFmtId="0" fontId="108" fillId="0" borderId="0" xfId="0" applyNumberFormat="1" applyFont="1" applyFill="1" applyBorder="1" applyAlignment="1" applyProtection="1">
      <alignment horizontal="left" wrapText="1"/>
    </xf>
    <xf numFmtId="0" fontId="124" fillId="0" borderId="0" xfId="0" applyFont="1" applyFill="1" applyBorder="1" applyProtection="1"/>
    <xf numFmtId="3" fontId="34" fillId="0" borderId="56" xfId="5" quotePrefix="1" applyNumberFormat="1" applyFont="1" applyFill="1" applyBorder="1" applyAlignment="1" applyProtection="1">
      <alignment horizontal="left"/>
    </xf>
    <xf numFmtId="3" fontId="125" fillId="0" borderId="73" xfId="5" quotePrefix="1" applyNumberFormat="1" applyFont="1" applyFill="1" applyBorder="1" applyAlignment="1" applyProtection="1">
      <alignment horizontal="left"/>
    </xf>
    <xf numFmtId="3" fontId="125" fillId="0" borderId="75" xfId="5" quotePrefix="1" applyNumberFormat="1" applyFont="1" applyFill="1" applyBorder="1" applyAlignment="1" applyProtection="1">
      <alignment horizontal="left"/>
    </xf>
    <xf numFmtId="0" fontId="48" fillId="0" borderId="75" xfId="5" applyFont="1" applyFill="1" applyBorder="1" applyProtection="1"/>
    <xf numFmtId="0" fontId="48" fillId="0" borderId="123" xfId="5" applyFont="1" applyFill="1" applyBorder="1" applyProtection="1"/>
    <xf numFmtId="3" fontId="34" fillId="0" borderId="73" xfId="5" quotePrefix="1" applyNumberFormat="1" applyFont="1" applyFill="1" applyBorder="1" applyAlignment="1" applyProtection="1">
      <alignment horizontal="left"/>
    </xf>
    <xf numFmtId="0" fontId="36" fillId="0" borderId="75" xfId="5" applyFont="1" applyFill="1" applyBorder="1" applyProtection="1"/>
    <xf numFmtId="0" fontId="36" fillId="0" borderId="73" xfId="5" applyFont="1" applyFill="1" applyBorder="1" applyProtection="1"/>
    <xf numFmtId="3" fontId="34" fillId="0" borderId="77" xfId="5" quotePrefix="1" applyNumberFormat="1" applyFont="1" applyFill="1" applyBorder="1" applyAlignment="1" applyProtection="1">
      <alignment horizontal="left"/>
    </xf>
    <xf numFmtId="0" fontId="108" fillId="0" borderId="0" xfId="0" applyFont="1" applyFill="1" applyAlignment="1" applyProtection="1"/>
    <xf numFmtId="49" fontId="126" fillId="20" borderId="7" xfId="0" applyNumberFormat="1" applyFont="1" applyFill="1" applyBorder="1" applyAlignment="1" applyProtection="1">
      <alignment horizontal="center"/>
    </xf>
    <xf numFmtId="0" fontId="109" fillId="0" borderId="0" xfId="0" applyFont="1" applyFill="1" applyAlignment="1" applyProtection="1">
      <alignment horizontal="right" vertical="top" wrapText="1"/>
    </xf>
    <xf numFmtId="3" fontId="2" fillId="0" borderId="32" xfId="0" applyNumberFormat="1" applyFont="1" applyFill="1" applyBorder="1" applyProtection="1">
      <protection locked="0"/>
    </xf>
    <xf numFmtId="49" fontId="3" fillId="20" borderId="42" xfId="0" applyNumberFormat="1" applyFont="1" applyFill="1" applyBorder="1" applyAlignment="1" applyProtection="1">
      <alignment horizontal="center"/>
    </xf>
    <xf numFmtId="49" fontId="126" fillId="20" borderId="2" xfId="0" applyNumberFormat="1" applyFont="1" applyFill="1" applyBorder="1" applyAlignment="1" applyProtection="1">
      <alignment horizontal="center" vertical="top" wrapText="1"/>
    </xf>
    <xf numFmtId="0" fontId="3" fillId="20" borderId="60" xfId="5" applyFont="1" applyFill="1" applyBorder="1" applyAlignment="1" applyProtection="1">
      <alignment horizontal="left" wrapText="1"/>
    </xf>
    <xf numFmtId="0" fontId="133" fillId="0" borderId="0" xfId="0" applyFont="1" applyFill="1" applyBorder="1" applyAlignment="1" applyProtection="1">
      <alignment horizontal="left" vertical="top"/>
    </xf>
    <xf numFmtId="0" fontId="0" fillId="0" borderId="57" xfId="0" applyFill="1" applyBorder="1" applyAlignment="1"/>
    <xf numFmtId="0" fontId="0" fillId="0" borderId="0" xfId="0" applyFill="1" applyAlignment="1"/>
    <xf numFmtId="3" fontId="13" fillId="0" borderId="44" xfId="0" applyNumberFormat="1" applyFont="1" applyFill="1" applyBorder="1" applyAlignment="1" applyProtection="1">
      <alignment horizontal="right"/>
      <protection locked="0"/>
    </xf>
    <xf numFmtId="0" fontId="124" fillId="2" borderId="0" xfId="0" applyFont="1" applyFill="1" applyProtection="1"/>
    <xf numFmtId="0" fontId="13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3" fontId="108" fillId="0" borderId="0" xfId="0" applyNumberFormat="1" applyFont="1" applyFill="1" applyBorder="1" applyProtection="1"/>
    <xf numFmtId="0" fontId="34" fillId="0" borderId="0" xfId="0" applyFont="1" applyFill="1" applyAlignment="1" applyProtection="1">
      <alignment horizontal="left" vertical="top"/>
    </xf>
    <xf numFmtId="0" fontId="109" fillId="0" borderId="0" xfId="0" applyFont="1" applyFill="1" applyAlignment="1" applyProtection="1">
      <alignment horizontal="right"/>
    </xf>
    <xf numFmtId="0" fontId="109" fillId="0" borderId="0" xfId="0" applyFont="1" applyFill="1" applyAlignment="1" applyProtection="1">
      <alignment horizontal="left" vertical="top" wrapText="1"/>
    </xf>
    <xf numFmtId="3" fontId="5" fillId="20" borderId="15" xfId="5" applyNumberFormat="1" applyFont="1" applyFill="1" applyBorder="1" applyAlignment="1" applyProtection="1">
      <alignment horizontal="left"/>
    </xf>
    <xf numFmtId="3" fontId="5" fillId="20" borderId="15" xfId="5" applyNumberFormat="1" applyFont="1" applyFill="1" applyBorder="1" applyAlignment="1" applyProtection="1">
      <alignment horizontal="left" vertical="center"/>
    </xf>
    <xf numFmtId="3" fontId="127" fillId="20" borderId="15" xfId="5" applyNumberFormat="1" applyFont="1" applyFill="1" applyBorder="1" applyAlignment="1" applyProtection="1">
      <alignment horizontal="left" vertical="top" wrapText="1"/>
    </xf>
    <xf numFmtId="0" fontId="108" fillId="0" borderId="0" xfId="0" applyFont="1" applyFill="1" applyBorder="1" applyAlignment="1" applyProtection="1">
      <alignment vertical="top"/>
    </xf>
    <xf numFmtId="0" fontId="124" fillId="0" borderId="0" xfId="0" applyFont="1" applyFill="1" applyBorder="1" applyAlignment="1" applyProtection="1">
      <alignment vertical="top"/>
    </xf>
    <xf numFmtId="0" fontId="135" fillId="0" borderId="0" xfId="0" applyFont="1" applyAlignment="1">
      <alignment wrapText="1"/>
    </xf>
    <xf numFmtId="3" fontId="136" fillId="0" borderId="0" xfId="0" applyNumberFormat="1" applyFont="1" applyFill="1" applyBorder="1" applyProtection="1"/>
    <xf numFmtId="0" fontId="0" fillId="0" borderId="0" xfId="0" applyFill="1" applyBorder="1" applyAlignment="1">
      <alignment horizontal="left" wrapText="1"/>
    </xf>
    <xf numFmtId="3" fontId="2" fillId="33" borderId="5" xfId="0" applyNumberFormat="1" applyFont="1" applyFill="1" applyBorder="1" applyProtection="1">
      <protection locked="0"/>
    </xf>
    <xf numFmtId="3" fontId="2" fillId="33" borderId="19" xfId="0" applyNumberFormat="1" applyFont="1" applyFill="1" applyBorder="1" applyProtection="1">
      <protection locked="0"/>
    </xf>
    <xf numFmtId="1" fontId="3" fillId="20" borderId="2" xfId="0" applyNumberFormat="1" applyFont="1" applyFill="1" applyBorder="1" applyAlignment="1" applyProtection="1">
      <alignment horizontal="center" vertical="center" wrapText="1"/>
    </xf>
    <xf numFmtId="0" fontId="3" fillId="20" borderId="2" xfId="0" applyFont="1" applyFill="1" applyBorder="1" applyAlignment="1" applyProtection="1">
      <alignment horizontal="left" vertical="center" wrapText="1"/>
    </xf>
    <xf numFmtId="0" fontId="5" fillId="20" borderId="25" xfId="0" applyFont="1" applyFill="1" applyBorder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top" wrapText="1"/>
    </xf>
    <xf numFmtId="3" fontId="2" fillId="2" borderId="44" xfId="0" applyNumberFormat="1" applyFont="1" applyFill="1" applyBorder="1" applyAlignment="1" applyProtection="1">
      <alignment horizontal="right"/>
      <protection locked="0"/>
    </xf>
    <xf numFmtId="0" fontId="53" fillId="2" borderId="0" xfId="0" applyFont="1" applyFill="1" applyAlignment="1" applyProtection="1"/>
    <xf numFmtId="0" fontId="3" fillId="20" borderId="168" xfId="0" applyNumberFormat="1" applyFont="1" applyFill="1" applyBorder="1" applyAlignment="1" applyProtection="1">
      <alignment horizontal="center" vertical="top" wrapText="1"/>
    </xf>
    <xf numFmtId="49" fontId="114" fillId="20" borderId="5" xfId="0" applyNumberFormat="1" applyFont="1" applyFill="1" applyBorder="1" applyAlignment="1" applyProtection="1">
      <alignment horizontal="center"/>
    </xf>
    <xf numFmtId="49" fontId="3" fillId="20" borderId="98" xfId="0" applyNumberFormat="1" applyFont="1" applyFill="1" applyBorder="1" applyAlignment="1" applyProtection="1">
      <alignment horizontal="left"/>
    </xf>
    <xf numFmtId="49" fontId="3" fillId="20" borderId="116" xfId="0" applyNumberFormat="1" applyFont="1" applyFill="1" applyBorder="1" applyAlignment="1" applyProtection="1">
      <alignment horizontal="left"/>
    </xf>
    <xf numFmtId="49" fontId="3" fillId="20" borderId="12" xfId="0" applyNumberFormat="1" applyFont="1" applyFill="1" applyBorder="1" applyAlignment="1" applyProtection="1">
      <alignment horizontal="left" vertical="top" wrapText="1"/>
    </xf>
    <xf numFmtId="0" fontId="3" fillId="20" borderId="8" xfId="0" applyFont="1" applyFill="1" applyBorder="1" applyAlignment="1" applyProtection="1">
      <alignment vertical="top" wrapText="1"/>
    </xf>
    <xf numFmtId="2" fontId="3" fillId="20" borderId="171" xfId="0" applyNumberFormat="1" applyFont="1" applyFill="1" applyBorder="1" applyAlignment="1" applyProtection="1">
      <alignment horizontal="left"/>
    </xf>
    <xf numFmtId="49" fontId="3" fillId="20" borderId="219" xfId="0" applyNumberFormat="1" applyFont="1" applyFill="1" applyBorder="1" applyAlignment="1" applyProtection="1">
      <alignment horizontal="left"/>
    </xf>
    <xf numFmtId="0" fontId="49" fillId="20" borderId="64" xfId="0" applyFont="1" applyFill="1" applyBorder="1" applyProtection="1"/>
    <xf numFmtId="165" fontId="9" fillId="2" borderId="0" xfId="0" applyNumberFormat="1" applyFont="1" applyFill="1" applyBorder="1" applyAlignment="1" applyProtection="1">
      <alignment horizontal="center" vertical="center"/>
    </xf>
    <xf numFmtId="49" fontId="8" fillId="0" borderId="229" xfId="0" applyNumberFormat="1" applyFont="1" applyFill="1" applyBorder="1" applyAlignment="1" applyProtection="1">
      <alignment horizontal="center"/>
    </xf>
    <xf numFmtId="49" fontId="8" fillId="0" borderId="229" xfId="0" applyNumberFormat="1" applyFont="1" applyFill="1" applyBorder="1" applyAlignment="1" applyProtection="1">
      <alignment horizontal="left"/>
    </xf>
    <xf numFmtId="3" fontId="2" fillId="0" borderId="229" xfId="0" applyNumberFormat="1" applyFont="1" applyFill="1" applyBorder="1" applyAlignment="1" applyProtection="1">
      <alignment horizontal="right"/>
    </xf>
    <xf numFmtId="3" fontId="3" fillId="20" borderId="44" xfId="5" applyNumberFormat="1" applyFont="1" applyFill="1" applyBorder="1" applyAlignment="1" applyProtection="1"/>
    <xf numFmtId="3" fontId="3" fillId="20" borderId="44" xfId="5" applyNumberFormat="1" applyFont="1" applyFill="1" applyBorder="1" applyAlignment="1" applyProtection="1">
      <alignment vertical="top" wrapText="1"/>
    </xf>
    <xf numFmtId="3" fontId="2" fillId="26" borderId="35" xfId="0" applyNumberFormat="1" applyFont="1" applyFill="1" applyBorder="1" applyAlignment="1" applyProtection="1"/>
    <xf numFmtId="3" fontId="2" fillId="26" borderId="2" xfId="0" applyNumberFormat="1" applyFont="1" applyFill="1" applyBorder="1" applyAlignment="1" applyProtection="1"/>
    <xf numFmtId="3" fontId="2" fillId="26" borderId="5" xfId="0" applyNumberFormat="1" applyFont="1" applyFill="1" applyBorder="1" applyAlignment="1" applyProtection="1"/>
    <xf numFmtId="0" fontId="3" fillId="20" borderId="35" xfId="0" applyFont="1" applyFill="1" applyBorder="1" applyProtection="1"/>
    <xf numFmtId="49" fontId="7" fillId="0" borderId="0" xfId="0" applyNumberFormat="1" applyFont="1" applyFill="1" applyBorder="1" applyAlignment="1" applyProtection="1">
      <alignment horizontal="center"/>
    </xf>
    <xf numFmtId="49" fontId="3" fillId="20" borderId="124" xfId="0" applyNumberFormat="1" applyFont="1" applyFill="1" applyBorder="1" applyAlignment="1" applyProtection="1">
      <alignment horizontal="left"/>
    </xf>
    <xf numFmtId="0" fontId="14" fillId="20" borderId="124" xfId="0" applyFont="1" applyFill="1" applyBorder="1" applyProtection="1"/>
    <xf numFmtId="49" fontId="3" fillId="20" borderId="1" xfId="0" applyNumberFormat="1" applyFont="1" applyFill="1" applyBorder="1" applyAlignment="1" applyProtection="1">
      <alignment horizontal="left"/>
    </xf>
    <xf numFmtId="0" fontId="8" fillId="20" borderId="35" xfId="0" applyFont="1" applyFill="1" applyBorder="1" applyProtection="1"/>
    <xf numFmtId="49" fontId="3" fillId="20" borderId="12" xfId="0" applyNumberFormat="1" applyFont="1" applyFill="1" applyBorder="1" applyAlignment="1" applyProtection="1">
      <alignment horizontal="right" vertical="center" wrapText="1"/>
    </xf>
    <xf numFmtId="0" fontId="3" fillId="20" borderId="8" xfId="0" applyFont="1" applyFill="1" applyBorder="1" applyAlignment="1" applyProtection="1">
      <alignment horizontal="left" vertical="top" wrapText="1"/>
    </xf>
    <xf numFmtId="0" fontId="53" fillId="0" borderId="0" xfId="0" applyFont="1" applyFill="1" applyAlignment="1" applyProtection="1">
      <alignment vertical="top"/>
    </xf>
    <xf numFmtId="1" fontId="5" fillId="0" borderId="0" xfId="0" applyNumberFormat="1" applyFont="1" applyFill="1" applyBorder="1" applyAlignment="1" applyProtection="1">
      <alignment horizontal="left" wrapText="1"/>
    </xf>
    <xf numFmtId="1" fontId="3" fillId="0" borderId="0" xfId="0" applyNumberFormat="1" applyFont="1" applyFill="1" applyBorder="1" applyAlignment="1" applyProtection="1">
      <alignment horizontal="center" wrapText="1"/>
    </xf>
    <xf numFmtId="0" fontId="108" fillId="0" borderId="0" xfId="0" applyNumberFormat="1" applyFont="1" applyFill="1" applyAlignment="1" applyProtection="1"/>
    <xf numFmtId="3" fontId="108" fillId="0" borderId="0" xfId="0" applyNumberFormat="1" applyFont="1" applyFill="1" applyBorder="1" applyAlignment="1" applyProtection="1">
      <alignment horizontal="left" wrapText="1"/>
    </xf>
    <xf numFmtId="1" fontId="3" fillId="20" borderId="42" xfId="0" applyNumberFormat="1" applyFont="1" applyFill="1" applyBorder="1" applyAlignment="1" applyProtection="1">
      <alignment horizontal="left" vertical="top" wrapText="1"/>
    </xf>
    <xf numFmtId="1" fontId="15" fillId="20" borderId="118" xfId="0" applyNumberFormat="1" applyFont="1" applyFill="1" applyBorder="1" applyAlignment="1" applyProtection="1">
      <alignment horizontal="center"/>
    </xf>
    <xf numFmtId="0" fontId="15" fillId="20" borderId="118" xfId="0" applyFont="1" applyFill="1" applyBorder="1" applyAlignment="1" applyProtection="1">
      <alignment horizontal="center"/>
    </xf>
    <xf numFmtId="49" fontId="3" fillId="20" borderId="5" xfId="0" applyNumberFormat="1" applyFont="1" applyFill="1" applyBorder="1" applyAlignment="1" applyProtection="1">
      <alignment horizontal="left"/>
    </xf>
    <xf numFmtId="0" fontId="15" fillId="20" borderId="72" xfId="0" applyFont="1" applyFill="1" applyBorder="1" applyAlignment="1" applyProtection="1">
      <alignment horizontal="center" vertical="center"/>
    </xf>
    <xf numFmtId="0" fontId="15" fillId="20" borderId="189" xfId="0" applyFont="1" applyFill="1" applyBorder="1" applyAlignment="1" applyProtection="1">
      <alignment horizontal="center" vertical="center" wrapText="1"/>
    </xf>
    <xf numFmtId="168" fontId="3" fillId="20" borderId="62" xfId="5" applyNumberFormat="1" applyFont="1" applyFill="1" applyBorder="1" applyAlignment="1" applyProtection="1">
      <alignment vertical="top"/>
    </xf>
    <xf numFmtId="168" fontId="3" fillId="20" borderId="176" xfId="0" applyNumberFormat="1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  <protection locked="0"/>
    </xf>
    <xf numFmtId="3" fontId="13" fillId="20" borderId="69" xfId="0" applyNumberFormat="1" applyFont="1" applyFill="1" applyBorder="1" applyAlignment="1" applyProtection="1">
      <alignment horizontal="right"/>
    </xf>
    <xf numFmtId="49" fontId="3" fillId="20" borderId="7" xfId="0" applyNumberFormat="1" applyFont="1" applyFill="1" applyBorder="1" applyAlignment="1" applyProtection="1">
      <alignment horizontal="center"/>
    </xf>
    <xf numFmtId="0" fontId="3" fillId="20" borderId="8" xfId="0" applyFont="1" applyFill="1" applyBorder="1" applyAlignment="1" applyProtection="1">
      <alignment horizontal="left"/>
    </xf>
    <xf numFmtId="49" fontId="3" fillId="20" borderId="76" xfId="0" applyNumberFormat="1" applyFont="1" applyFill="1" applyBorder="1" applyAlignment="1" applyProtection="1">
      <alignment wrapText="1"/>
    </xf>
    <xf numFmtId="49" fontId="3" fillId="20" borderId="11" xfId="0" applyNumberFormat="1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/>
    </xf>
    <xf numFmtId="49" fontId="8" fillId="20" borderId="196" xfId="0" applyNumberFormat="1" applyFont="1" applyFill="1" applyBorder="1" applyAlignment="1" applyProtection="1">
      <alignment horizontal="center"/>
    </xf>
    <xf numFmtId="49" fontId="8" fillId="20" borderId="197" xfId="0" applyNumberFormat="1" applyFont="1" applyFill="1" applyBorder="1" applyAlignment="1" applyProtection="1">
      <alignment horizontal="left"/>
    </xf>
    <xf numFmtId="3" fontId="2" fillId="2" borderId="195" xfId="0" applyNumberFormat="1" applyFont="1" applyFill="1" applyBorder="1" applyAlignment="1" applyProtection="1">
      <alignment horizontal="right"/>
      <protection locked="0"/>
    </xf>
    <xf numFmtId="3" fontId="2" fillId="2" borderId="150" xfId="0" applyNumberFormat="1" applyFont="1" applyFill="1" applyBorder="1" applyAlignment="1" applyProtection="1">
      <alignment horizontal="right"/>
      <protection locked="0"/>
    </xf>
    <xf numFmtId="3" fontId="2" fillId="20" borderId="191" xfId="0" applyNumberFormat="1" applyFont="1" applyFill="1" applyBorder="1" applyAlignment="1" applyProtection="1">
      <alignment horizontal="right"/>
    </xf>
    <xf numFmtId="0" fontId="108" fillId="2" borderId="0" xfId="0" applyFont="1" applyFill="1" applyAlignment="1" applyProtection="1">
      <alignment wrapText="1"/>
    </xf>
    <xf numFmtId="0" fontId="44" fillId="0" borderId="0" xfId="0" applyNumberFormat="1" applyFont="1" applyFill="1" applyBorder="1" applyAlignment="1" applyProtection="1">
      <alignment horizontal="right"/>
    </xf>
    <xf numFmtId="3" fontId="34" fillId="0" borderId="126" xfId="0" applyNumberFormat="1" applyFont="1" applyFill="1" applyBorder="1" applyProtection="1"/>
    <xf numFmtId="0" fontId="3" fillId="20" borderId="8" xfId="0" applyFont="1" applyFill="1" applyBorder="1" applyAlignment="1" applyProtection="1">
      <alignment horizontal="center" wrapText="1"/>
    </xf>
    <xf numFmtId="0" fontId="3" fillId="20" borderId="55" xfId="0" applyFont="1" applyFill="1" applyBorder="1" applyAlignment="1" applyProtection="1">
      <alignment horizontal="center" wrapText="1"/>
    </xf>
    <xf numFmtId="1" fontId="3" fillId="20" borderId="25" xfId="0" applyNumberFormat="1" applyFont="1" applyFill="1" applyBorder="1" applyAlignment="1" applyProtection="1">
      <alignment horizontal="center" wrapText="1"/>
    </xf>
    <xf numFmtId="1" fontId="3" fillId="0" borderId="0" xfId="0" applyNumberFormat="1" applyFont="1" applyFill="1" applyBorder="1" applyAlignment="1" applyProtection="1">
      <alignment horizontal="center" wrapText="1"/>
    </xf>
    <xf numFmtId="1" fontId="3" fillId="20" borderId="82" xfId="0" applyNumberFormat="1" applyFont="1" applyFill="1" applyBorder="1" applyAlignment="1" applyProtection="1">
      <alignment horizontal="center" wrapText="1"/>
    </xf>
    <xf numFmtId="3" fontId="13" fillId="0" borderId="229" xfId="0" applyNumberFormat="1" applyFont="1" applyFill="1" applyBorder="1" applyAlignment="1" applyProtection="1">
      <alignment horizontal="right"/>
    </xf>
    <xf numFmtId="0" fontId="3" fillId="0" borderId="226" xfId="0" applyFont="1" applyFill="1" applyBorder="1" applyAlignment="1" applyProtection="1">
      <alignment horizontal="center"/>
    </xf>
    <xf numFmtId="1" fontId="3" fillId="0" borderId="226" xfId="0" applyNumberFormat="1" applyFont="1" applyFill="1" applyBorder="1" applyAlignment="1" applyProtection="1">
      <alignment horizontal="center" wrapText="1"/>
    </xf>
    <xf numFmtId="1" fontId="3" fillId="0" borderId="226" xfId="0" applyNumberFormat="1" applyFont="1" applyFill="1" applyBorder="1" applyAlignment="1" applyProtection="1">
      <alignment horizontal="left"/>
    </xf>
    <xf numFmtId="0" fontId="3" fillId="0" borderId="229" xfId="0" applyFont="1" applyFill="1" applyBorder="1" applyAlignment="1" applyProtection="1">
      <alignment horizontal="center"/>
    </xf>
    <xf numFmtId="1" fontId="3" fillId="0" borderId="229" xfId="0" applyNumberFormat="1" applyFont="1" applyFill="1" applyBorder="1" applyAlignment="1" applyProtection="1">
      <alignment horizontal="center" wrapText="1"/>
    </xf>
    <xf numFmtId="1" fontId="3" fillId="0" borderId="229" xfId="0" applyNumberFormat="1" applyFont="1" applyFill="1" applyBorder="1" applyAlignment="1" applyProtection="1">
      <alignment horizontal="left"/>
    </xf>
    <xf numFmtId="0" fontId="3" fillId="20" borderId="82" xfId="0" applyFont="1" applyFill="1" applyBorder="1" applyAlignment="1" applyProtection="1">
      <alignment horizontal="left" wrapText="1"/>
    </xf>
    <xf numFmtId="0" fontId="3" fillId="20" borderId="21" xfId="0" applyNumberFormat="1" applyFont="1" applyFill="1" applyBorder="1" applyAlignment="1" applyProtection="1">
      <alignment horizontal="center"/>
    </xf>
    <xf numFmtId="0" fontId="3" fillId="20" borderId="2" xfId="0" applyNumberFormat="1" applyFont="1" applyFill="1" applyBorder="1" applyAlignment="1" applyProtection="1">
      <alignment horizontal="center"/>
    </xf>
    <xf numFmtId="0" fontId="5" fillId="20" borderId="15" xfId="0" applyNumberFormat="1" applyFont="1" applyFill="1" applyBorder="1" applyAlignment="1" applyProtection="1">
      <alignment horizontal="center"/>
    </xf>
    <xf numFmtId="0" fontId="3" fillId="20" borderId="5" xfId="0" applyNumberFormat="1" applyFont="1" applyFill="1" applyBorder="1" applyAlignment="1" applyProtection="1">
      <alignment horizontal="center"/>
    </xf>
    <xf numFmtId="0" fontId="8" fillId="20" borderId="2" xfId="0" applyNumberFormat="1" applyFont="1" applyFill="1" applyBorder="1" applyAlignment="1" applyProtection="1">
      <alignment horizontal="center"/>
    </xf>
    <xf numFmtId="0" fontId="14" fillId="20" borderId="2" xfId="0" applyNumberFormat="1" applyFont="1" applyFill="1" applyBorder="1" applyAlignment="1" applyProtection="1">
      <alignment horizontal="center"/>
    </xf>
    <xf numFmtId="0" fontId="3" fillId="20" borderId="129" xfId="0" applyNumberFormat="1" applyFont="1" applyFill="1" applyBorder="1" applyAlignment="1" applyProtection="1">
      <alignment horizontal="center"/>
    </xf>
    <xf numFmtId="0" fontId="14" fillId="20" borderId="13" xfId="0" applyNumberFormat="1" applyFont="1" applyFill="1" applyBorder="1" applyAlignment="1" applyProtection="1">
      <alignment horizontal="center"/>
    </xf>
    <xf numFmtId="0" fontId="3" fillId="20" borderId="127" xfId="0" applyNumberFormat="1" applyFont="1" applyFill="1" applyBorder="1" applyAlignment="1" applyProtection="1">
      <alignment horizontal="center"/>
    </xf>
    <xf numFmtId="0" fontId="3" fillId="20" borderId="13" xfId="0" applyNumberFormat="1" applyFont="1" applyFill="1" applyBorder="1" applyAlignment="1" applyProtection="1">
      <alignment horizontal="center"/>
    </xf>
    <xf numFmtId="0" fontId="8" fillId="20" borderId="98" xfId="0" applyNumberFormat="1" applyFont="1" applyFill="1" applyBorder="1" applyAlignment="1" applyProtection="1">
      <alignment horizontal="center"/>
    </xf>
    <xf numFmtId="0" fontId="8" fillId="20" borderId="118" xfId="0" applyNumberFormat="1" applyFont="1" applyFill="1" applyBorder="1" applyAlignment="1" applyProtection="1">
      <alignment horizontal="center"/>
    </xf>
    <xf numFmtId="0" fontId="5" fillId="20" borderId="21" xfId="0" applyNumberFormat="1" applyFont="1" applyFill="1" applyBorder="1" applyAlignment="1" applyProtection="1">
      <alignment horizontal="center"/>
    </xf>
    <xf numFmtId="0" fontId="3" fillId="20" borderId="24" xfId="0" applyNumberFormat="1" applyFont="1" applyFill="1" applyBorder="1" applyAlignment="1" applyProtection="1">
      <alignment horizontal="center"/>
    </xf>
    <xf numFmtId="0" fontId="3" fillId="20" borderId="146" xfId="0" applyNumberFormat="1" applyFont="1" applyFill="1" applyBorder="1" applyAlignment="1" applyProtection="1">
      <alignment horizontal="center"/>
    </xf>
    <xf numFmtId="0" fontId="3" fillId="20" borderId="22" xfId="0" applyNumberFormat="1" applyFont="1" applyFill="1" applyBorder="1" applyAlignment="1" applyProtection="1">
      <alignment horizontal="center"/>
    </xf>
    <xf numFmtId="0" fontId="8" fillId="20" borderId="36" xfId="0" applyNumberFormat="1" applyFont="1" applyFill="1" applyBorder="1" applyAlignment="1" applyProtection="1">
      <alignment horizontal="center"/>
    </xf>
    <xf numFmtId="0" fontId="8" fillId="20" borderId="127" xfId="0" applyNumberFormat="1" applyFont="1" applyFill="1" applyBorder="1" applyAlignment="1" applyProtection="1">
      <alignment horizontal="center"/>
    </xf>
    <xf numFmtId="0" fontId="115" fillId="20" borderId="127" xfId="0" applyNumberFormat="1" applyFont="1" applyFill="1" applyBorder="1" applyAlignment="1" applyProtection="1">
      <alignment horizontal="center"/>
    </xf>
    <xf numFmtId="0" fontId="8" fillId="20" borderId="37" xfId="0" applyNumberFormat="1" applyFont="1" applyFill="1" applyBorder="1" applyAlignment="1" applyProtection="1">
      <alignment horizontal="center"/>
    </xf>
    <xf numFmtId="0" fontId="11" fillId="20" borderId="58" xfId="0" applyNumberFormat="1" applyFont="1" applyFill="1" applyBorder="1" applyProtection="1"/>
    <xf numFmtId="0" fontId="3" fillId="20" borderId="131" xfId="0" applyNumberFormat="1" applyFont="1" applyFill="1" applyBorder="1" applyAlignment="1" applyProtection="1">
      <alignment horizontal="center"/>
    </xf>
    <xf numFmtId="0" fontId="8" fillId="20" borderId="130" xfId="0" applyNumberFormat="1" applyFont="1" applyFill="1" applyBorder="1" applyAlignment="1" applyProtection="1">
      <alignment horizontal="center"/>
    </xf>
    <xf numFmtId="0" fontId="103" fillId="20" borderId="21" xfId="0" applyNumberFormat="1" applyFont="1" applyFill="1" applyBorder="1" applyAlignment="1" applyProtection="1">
      <alignment horizontal="center"/>
    </xf>
    <xf numFmtId="49" fontId="3" fillId="20" borderId="24" xfId="5" applyNumberFormat="1" applyFont="1" applyFill="1" applyBorder="1" applyAlignment="1" applyProtection="1">
      <alignment horizontal="center"/>
    </xf>
    <xf numFmtId="3" fontId="108" fillId="2" borderId="0" xfId="0" applyNumberFormat="1" applyFont="1" applyFill="1" applyBorder="1" applyAlignment="1" applyProtection="1">
      <alignment horizontal="left"/>
      <protection locked="0"/>
    </xf>
    <xf numFmtId="166" fontId="2" fillId="20" borderId="52" xfId="0" applyNumberFormat="1" applyFont="1" applyFill="1" applyBorder="1" applyProtection="1"/>
    <xf numFmtId="166" fontId="2" fillId="20" borderId="59" xfId="0" applyNumberFormat="1" applyFont="1" applyFill="1" applyBorder="1" applyProtection="1"/>
    <xf numFmtId="3" fontId="13" fillId="2" borderId="226" xfId="0" applyNumberFormat="1" applyFont="1" applyFill="1" applyBorder="1" applyAlignment="1" applyProtection="1">
      <alignment horizontal="right"/>
    </xf>
    <xf numFmtId="3" fontId="13" fillId="20" borderId="26" xfId="0" applyNumberFormat="1" applyFont="1" applyFill="1" applyBorder="1" applyAlignment="1" applyProtection="1">
      <alignment horizontal="right"/>
      <protection locked="0"/>
    </xf>
    <xf numFmtId="49" fontId="8" fillId="20" borderId="169" xfId="0" applyNumberFormat="1" applyFont="1" applyFill="1" applyBorder="1" applyAlignment="1" applyProtection="1">
      <alignment horizontal="center"/>
    </xf>
    <xf numFmtId="49" fontId="3" fillId="20" borderId="136" xfId="0" applyNumberFormat="1" applyFont="1" applyFill="1" applyBorder="1" applyAlignment="1" applyProtection="1">
      <alignment horizontal="center" wrapText="1"/>
    </xf>
    <xf numFmtId="49" fontId="8" fillId="20" borderId="136" xfId="0" applyNumberFormat="1" applyFont="1" applyFill="1" applyBorder="1" applyAlignment="1" applyProtection="1">
      <alignment horizontal="left"/>
    </xf>
    <xf numFmtId="49" fontId="8" fillId="20" borderId="4" xfId="0" applyNumberFormat="1" applyFont="1" applyFill="1" applyBorder="1" applyAlignment="1" applyProtection="1">
      <alignment horizontal="center"/>
    </xf>
    <xf numFmtId="49" fontId="8" fillId="0" borderId="203" xfId="0" applyNumberFormat="1" applyFont="1" applyFill="1" applyBorder="1" applyAlignment="1" applyProtection="1">
      <alignment horizontal="left"/>
    </xf>
    <xf numFmtId="3" fontId="108" fillId="0" borderId="0" xfId="0" applyNumberFormat="1" applyFont="1" applyFill="1" applyBorder="1" applyProtection="1">
      <protection locked="0"/>
    </xf>
    <xf numFmtId="3" fontId="2" fillId="2" borderId="205" xfId="0" applyNumberFormat="1" applyFont="1" applyFill="1" applyBorder="1" applyAlignment="1" applyProtection="1">
      <alignment horizontal="right"/>
      <protection locked="0"/>
    </xf>
    <xf numFmtId="3" fontId="2" fillId="0" borderId="205" xfId="0" applyNumberFormat="1" applyFont="1" applyFill="1" applyBorder="1" applyProtection="1">
      <protection locked="0"/>
    </xf>
    <xf numFmtId="3" fontId="2" fillId="20" borderId="58" xfId="0" applyNumberFormat="1" applyFont="1" applyFill="1" applyBorder="1" applyAlignment="1" applyProtection="1">
      <alignment horizontal="right"/>
      <protection locked="0"/>
    </xf>
    <xf numFmtId="3" fontId="2" fillId="20" borderId="57" xfId="0" applyNumberFormat="1" applyFont="1" applyFill="1" applyBorder="1" applyAlignment="1" applyProtection="1">
      <alignment horizontal="right"/>
      <protection locked="0"/>
    </xf>
    <xf numFmtId="0" fontId="34" fillId="0" borderId="0" xfId="0" applyFont="1" applyFill="1" applyAlignment="1" applyProtection="1">
      <alignment vertical="top"/>
    </xf>
    <xf numFmtId="0" fontId="108" fillId="0" borderId="0" xfId="0" applyFont="1" applyFill="1" applyBorder="1" applyAlignment="1" applyProtection="1"/>
    <xf numFmtId="3" fontId="43" fillId="21" borderId="127" xfId="0" applyNumberFormat="1" applyFont="1" applyFill="1" applyBorder="1" applyAlignment="1" applyProtection="1"/>
    <xf numFmtId="3" fontId="43" fillId="21" borderId="6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left" vertical="center"/>
    </xf>
    <xf numFmtId="0" fontId="108" fillId="0" borderId="0" xfId="0" applyNumberFormat="1" applyFont="1" applyFill="1" applyBorder="1" applyAlignment="1" applyProtection="1">
      <alignment vertical="top" wrapText="1"/>
    </xf>
    <xf numFmtId="0" fontId="108" fillId="0" borderId="0" xfId="0" applyNumberFormat="1" applyFont="1" applyFill="1" applyBorder="1" applyAlignment="1" applyProtection="1">
      <alignment wrapText="1"/>
    </xf>
    <xf numFmtId="3" fontId="10" fillId="0" borderId="7" xfId="0" applyNumberFormat="1" applyFont="1" applyFill="1" applyBorder="1" applyAlignment="1" applyProtection="1">
      <alignment horizontal="right"/>
      <protection locked="0"/>
    </xf>
    <xf numFmtId="0" fontId="139" fillId="0" borderId="0" xfId="0" applyFont="1" applyFill="1" applyBorder="1" applyProtection="1"/>
    <xf numFmtId="3" fontId="108" fillId="0" borderId="0" xfId="0" applyNumberFormat="1" applyFont="1" applyFill="1" applyBorder="1" applyAlignment="1" applyProtection="1">
      <alignment horizontal="left" vertical="top" wrapText="1"/>
    </xf>
    <xf numFmtId="0" fontId="3" fillId="20" borderId="37" xfId="0" applyFont="1" applyFill="1" applyBorder="1" applyAlignment="1" applyProtection="1">
      <alignment horizontal="center"/>
    </xf>
    <xf numFmtId="0" fontId="8" fillId="20" borderId="230" xfId="0" applyFont="1" applyFill="1" applyBorder="1" applyAlignment="1" applyProtection="1">
      <alignment horizontal="center"/>
    </xf>
    <xf numFmtId="0" fontId="3" fillId="20" borderId="91" xfId="0" applyFont="1" applyFill="1" applyBorder="1" applyAlignment="1" applyProtection="1">
      <alignment horizontal="left" vertical="top" wrapText="1"/>
    </xf>
    <xf numFmtId="3" fontId="3" fillId="20" borderId="25" xfId="0" applyNumberFormat="1" applyFont="1" applyFill="1" applyBorder="1" applyProtection="1"/>
    <xf numFmtId="0" fontId="3" fillId="20" borderId="135" xfId="0" applyFont="1" applyFill="1" applyBorder="1" applyAlignment="1" applyProtection="1">
      <alignment horizontal="left" vertical="top" wrapText="1"/>
    </xf>
    <xf numFmtId="0" fontId="3" fillId="20" borderId="130" xfId="0" applyFont="1" applyFill="1" applyBorder="1" applyAlignment="1" applyProtection="1">
      <alignment horizontal="left" vertical="top" wrapText="1"/>
    </xf>
    <xf numFmtId="0" fontId="3" fillId="20" borderId="168" xfId="5" applyFont="1" applyFill="1" applyBorder="1" applyAlignment="1" applyProtection="1">
      <alignment vertical="top" wrapText="1"/>
    </xf>
    <xf numFmtId="3" fontId="3" fillId="20" borderId="189" xfId="0" applyNumberFormat="1" applyFont="1" applyFill="1" applyBorder="1" applyAlignment="1" applyProtection="1">
      <alignment vertical="top" wrapText="1"/>
    </xf>
    <xf numFmtId="0" fontId="0" fillId="0" borderId="0" xfId="0" applyFill="1" applyBorder="1" applyAlignment="1"/>
    <xf numFmtId="49" fontId="3" fillId="28" borderId="0" xfId="0" applyNumberFormat="1" applyFont="1" applyFill="1" applyBorder="1" applyAlignment="1" applyProtection="1">
      <alignment horizontal="center"/>
    </xf>
    <xf numFmtId="0" fontId="5" fillId="28" borderId="0" xfId="0" applyFont="1" applyFill="1" applyBorder="1" applyAlignment="1" applyProtection="1">
      <alignment horizontal="left"/>
    </xf>
    <xf numFmtId="49" fontId="3" fillId="20" borderId="115" xfId="0" applyNumberFormat="1" applyFont="1" applyFill="1" applyBorder="1" applyAlignment="1" applyProtection="1">
      <alignment horizontal="center"/>
    </xf>
    <xf numFmtId="3" fontId="2" fillId="3" borderId="155" xfId="0" applyNumberFormat="1" applyFont="1" applyFill="1" applyBorder="1" applyProtection="1"/>
    <xf numFmtId="49" fontId="3" fillId="20" borderId="15" xfId="0" applyNumberFormat="1" applyFont="1" applyFill="1" applyBorder="1" applyAlignment="1" applyProtection="1">
      <alignment horizontal="center"/>
    </xf>
    <xf numFmtId="166" fontId="3" fillId="20" borderId="15" xfId="0" applyNumberFormat="1" applyFont="1" applyFill="1" applyBorder="1" applyAlignment="1" applyProtection="1">
      <alignment horizontal="left"/>
    </xf>
    <xf numFmtId="49" fontId="3" fillId="20" borderId="68" xfId="0" applyNumberFormat="1" applyFont="1" applyFill="1" applyBorder="1" applyAlignment="1" applyProtection="1">
      <alignment horizontal="center"/>
    </xf>
    <xf numFmtId="3" fontId="2" fillId="2" borderId="188" xfId="0" applyNumberFormat="1" applyFont="1" applyFill="1" applyBorder="1" applyAlignment="1" applyProtection="1">
      <alignment horizontal="right"/>
      <protection locked="0"/>
    </xf>
    <xf numFmtId="3" fontId="2" fillId="2" borderId="95" xfId="0" applyNumberFormat="1" applyFont="1" applyFill="1" applyBorder="1" applyAlignment="1" applyProtection="1">
      <alignment horizontal="right"/>
      <protection locked="0"/>
    </xf>
    <xf numFmtId="0" fontId="34" fillId="0" borderId="158" xfId="0" applyFont="1" applyFill="1" applyBorder="1" applyProtection="1"/>
    <xf numFmtId="49" fontId="5" fillId="20" borderId="68" xfId="0" applyNumberFormat="1" applyFont="1" applyFill="1" applyBorder="1" applyAlignment="1" applyProtection="1">
      <alignment horizontal="center"/>
    </xf>
    <xf numFmtId="3" fontId="2" fillId="2" borderId="25" xfId="0" applyNumberFormat="1" applyFont="1" applyFill="1" applyBorder="1" applyAlignment="1" applyProtection="1">
      <alignment horizontal="right"/>
      <protection locked="0"/>
    </xf>
    <xf numFmtId="3" fontId="2" fillId="2" borderId="69" xfId="0" applyNumberFormat="1" applyFont="1" applyFill="1" applyBorder="1" applyAlignment="1" applyProtection="1">
      <alignment horizontal="right"/>
      <protection locked="0"/>
    </xf>
    <xf numFmtId="0" fontId="3" fillId="20" borderId="128" xfId="0" applyFont="1" applyFill="1" applyBorder="1" applyAlignment="1" applyProtection="1">
      <alignment horizontal="left"/>
    </xf>
    <xf numFmtId="0" fontId="9" fillId="2" borderId="226" xfId="0" applyFont="1" applyFill="1" applyBorder="1" applyProtection="1"/>
    <xf numFmtId="1" fontId="3" fillId="20" borderId="68" xfId="0" applyNumberFormat="1" applyFont="1" applyFill="1" applyBorder="1" applyAlignment="1" applyProtection="1">
      <alignment horizontal="center"/>
    </xf>
    <xf numFmtId="0" fontId="0" fillId="0" borderId="226" xfId="0" applyFill="1" applyBorder="1" applyProtection="1"/>
    <xf numFmtId="0" fontId="0" fillId="2" borderId="203" xfId="0" applyFill="1" applyBorder="1" applyProtection="1"/>
    <xf numFmtId="0" fontId="9" fillId="2" borderId="203" xfId="0" applyFont="1" applyFill="1" applyBorder="1" applyProtection="1"/>
    <xf numFmtId="3" fontId="13" fillId="2" borderId="166" xfId="0" applyNumberFormat="1" applyFont="1" applyFill="1" applyBorder="1" applyAlignment="1" applyProtection="1">
      <alignment horizontal="right"/>
      <protection locked="0"/>
    </xf>
    <xf numFmtId="3" fontId="2" fillId="2" borderId="71" xfId="0" applyNumberFormat="1" applyFont="1" applyFill="1" applyBorder="1" applyAlignment="1" applyProtection="1">
      <alignment horizontal="right"/>
      <protection locked="0"/>
    </xf>
    <xf numFmtId="3" fontId="43" fillId="0" borderId="58" xfId="0" applyNumberFormat="1" applyFont="1" applyFill="1" applyBorder="1" applyProtection="1"/>
    <xf numFmtId="3" fontId="43" fillId="20" borderId="69" xfId="0" applyNumberFormat="1" applyFont="1" applyFill="1" applyBorder="1" applyProtection="1"/>
    <xf numFmtId="3" fontId="43" fillId="21" borderId="87" xfId="0" applyNumberFormat="1" applyFont="1" applyFill="1" applyBorder="1" applyProtection="1"/>
    <xf numFmtId="3" fontId="43" fillId="20" borderId="18" xfId="0" applyNumberFormat="1" applyFont="1" applyFill="1" applyBorder="1" applyProtection="1"/>
    <xf numFmtId="3" fontId="2" fillId="28" borderId="61" xfId="0" applyNumberFormat="1" applyFont="1" applyFill="1" applyBorder="1" applyAlignment="1" applyProtection="1">
      <alignment horizontal="right"/>
      <protection locked="0"/>
    </xf>
    <xf numFmtId="49" fontId="3" fillId="20" borderId="133" xfId="0" applyNumberFormat="1" applyFont="1" applyFill="1" applyBorder="1" applyAlignment="1" applyProtection="1">
      <alignment horizontal="center" wrapText="1"/>
    </xf>
    <xf numFmtId="49" fontId="3" fillId="20" borderId="205" xfId="0" applyNumberFormat="1" applyFont="1" applyFill="1" applyBorder="1" applyAlignment="1" applyProtection="1">
      <alignment horizontal="left"/>
    </xf>
    <xf numFmtId="3" fontId="2" fillId="2" borderId="132" xfId="0" applyNumberFormat="1" applyFont="1" applyFill="1" applyBorder="1" applyAlignment="1" applyProtection="1">
      <alignment horizontal="right"/>
      <protection locked="0"/>
    </xf>
    <xf numFmtId="49" fontId="8" fillId="20" borderId="191" xfId="0" applyNumberFormat="1" applyFont="1" applyFill="1" applyBorder="1" applyAlignment="1" applyProtection="1">
      <alignment horizontal="left"/>
    </xf>
    <xf numFmtId="49" fontId="3" fillId="20" borderId="231" xfId="0" applyNumberFormat="1" applyFont="1" applyFill="1" applyBorder="1" applyAlignment="1" applyProtection="1">
      <alignment horizontal="center"/>
    </xf>
    <xf numFmtId="3" fontId="2" fillId="28" borderId="85" xfId="0" applyNumberFormat="1" applyFont="1" applyFill="1" applyBorder="1" applyProtection="1">
      <protection locked="0"/>
    </xf>
    <xf numFmtId="3" fontId="34" fillId="20" borderId="56" xfId="0" applyNumberFormat="1" applyFont="1" applyFill="1" applyBorder="1" applyAlignment="1" applyProtection="1"/>
    <xf numFmtId="3" fontId="108" fillId="20" borderId="56" xfId="0" applyNumberFormat="1" applyFont="1" applyFill="1" applyBorder="1" applyAlignment="1" applyProtection="1">
      <alignment vertical="center"/>
    </xf>
    <xf numFmtId="3" fontId="2" fillId="20" borderId="20" xfId="0" applyNumberFormat="1" applyFont="1" applyFill="1" applyBorder="1" applyAlignment="1" applyProtection="1">
      <alignment horizontal="right"/>
    </xf>
    <xf numFmtId="0" fontId="3" fillId="20" borderId="24" xfId="0" applyFont="1" applyFill="1" applyBorder="1" applyAlignment="1" applyProtection="1">
      <alignment vertical="top"/>
    </xf>
    <xf numFmtId="3" fontId="3" fillId="20" borderId="25" xfId="0" applyNumberFormat="1" applyFont="1" applyFill="1" applyBorder="1" applyAlignment="1" applyProtection="1">
      <alignment vertical="top"/>
    </xf>
    <xf numFmtId="0" fontId="140" fillId="2" borderId="0" xfId="0" applyFont="1" applyFill="1" applyProtection="1"/>
    <xf numFmtId="0" fontId="5" fillId="20" borderId="9" xfId="0" applyFont="1" applyFill="1" applyBorder="1" applyAlignment="1" applyProtection="1">
      <alignment vertical="top" wrapText="1"/>
    </xf>
    <xf numFmtId="0" fontId="0" fillId="20" borderId="67" xfId="0" applyFill="1" applyBorder="1"/>
    <xf numFmtId="0" fontId="73" fillId="20" borderId="27" xfId="0" applyFont="1" applyFill="1" applyBorder="1" applyAlignment="1">
      <alignment horizontal="left" wrapText="1"/>
    </xf>
    <xf numFmtId="0" fontId="74" fillId="20" borderId="0" xfId="0" applyFont="1" applyFill="1" applyBorder="1" applyAlignment="1">
      <alignment horizontal="right" wrapText="1"/>
    </xf>
    <xf numFmtId="0" fontId="72" fillId="20" borderId="0" xfId="0" applyFont="1" applyFill="1" applyBorder="1" applyAlignment="1">
      <alignment wrapText="1"/>
    </xf>
    <xf numFmtId="0" fontId="0" fillId="20" borderId="0" xfId="0" applyFill="1" applyBorder="1"/>
    <xf numFmtId="0" fontId="70" fillId="20" borderId="27" xfId="0" applyFont="1" applyFill="1" applyBorder="1" applyAlignment="1">
      <alignment horizontal="right" wrapText="1"/>
    </xf>
    <xf numFmtId="49" fontId="74" fillId="20" borderId="0" xfId="0" applyNumberFormat="1" applyFont="1" applyFill="1" applyBorder="1" applyAlignment="1">
      <alignment horizontal="right" wrapText="1"/>
    </xf>
    <xf numFmtId="3" fontId="141" fillId="20" borderId="0" xfId="0" applyNumberFormat="1" applyFont="1" applyFill="1" applyBorder="1" applyAlignment="1" applyProtection="1">
      <alignment horizontal="right"/>
    </xf>
    <xf numFmtId="3" fontId="15" fillId="20" borderId="0" xfId="0" applyNumberFormat="1" applyFont="1" applyFill="1" applyBorder="1" applyAlignment="1" applyProtection="1">
      <alignment horizontal="right"/>
    </xf>
    <xf numFmtId="0" fontId="0" fillId="20" borderId="0" xfId="0" applyFill="1"/>
    <xf numFmtId="0" fontId="142" fillId="20" borderId="0" xfId="0" applyFont="1" applyFill="1"/>
    <xf numFmtId="0" fontId="0" fillId="20" borderId="27" xfId="0" applyFill="1" applyBorder="1"/>
    <xf numFmtId="0" fontId="0" fillId="20" borderId="111" xfId="0" applyFill="1" applyBorder="1"/>
    <xf numFmtId="0" fontId="0" fillId="20" borderId="1" xfId="0" applyFill="1" applyBorder="1"/>
    <xf numFmtId="0" fontId="0" fillId="34" borderId="0" xfId="0" applyFill="1"/>
    <xf numFmtId="49" fontId="3" fillId="35" borderId="27" xfId="0" applyNumberFormat="1" applyFont="1" applyFill="1" applyBorder="1" applyAlignment="1" applyProtection="1">
      <alignment horizontal="center"/>
    </xf>
    <xf numFmtId="49" fontId="3" fillId="35" borderId="9" xfId="0" applyNumberFormat="1" applyFont="1" applyFill="1" applyBorder="1" applyAlignment="1" applyProtection="1">
      <alignment horizontal="center"/>
    </xf>
    <xf numFmtId="49" fontId="3" fillId="35" borderId="2" xfId="0" applyNumberFormat="1" applyFont="1" applyFill="1" applyBorder="1" applyAlignment="1" applyProtection="1">
      <alignment horizontal="left"/>
    </xf>
    <xf numFmtId="0" fontId="3" fillId="35" borderId="5" xfId="0" applyFont="1" applyFill="1" applyBorder="1" applyProtection="1"/>
    <xf numFmtId="0" fontId="3" fillId="35" borderId="0" xfId="0" applyFont="1" applyFill="1" applyBorder="1" applyProtection="1"/>
    <xf numFmtId="0" fontId="8" fillId="35" borderId="2" xfId="0" applyFont="1" applyFill="1" applyBorder="1" applyProtection="1"/>
    <xf numFmtId="0" fontId="3" fillId="35" borderId="133" xfId="0" applyFont="1" applyFill="1" applyBorder="1" applyProtection="1"/>
    <xf numFmtId="49" fontId="3" fillId="35" borderId="156" xfId="0" applyNumberFormat="1" applyFont="1" applyFill="1" applyBorder="1" applyAlignment="1" applyProtection="1">
      <alignment horizontal="center" wrapText="1"/>
    </xf>
    <xf numFmtId="49" fontId="3" fillId="35" borderId="210" xfId="0" applyNumberFormat="1" applyFont="1" applyFill="1" applyBorder="1" applyAlignment="1" applyProtection="1">
      <alignment horizontal="left"/>
    </xf>
    <xf numFmtId="49" fontId="3" fillId="35" borderId="64" xfId="0" applyNumberFormat="1" applyFont="1" applyFill="1" applyBorder="1" applyAlignment="1" applyProtection="1">
      <alignment horizontal="left"/>
    </xf>
    <xf numFmtId="49" fontId="3" fillId="35" borderId="232" xfId="0" applyNumberFormat="1" applyFont="1" applyFill="1" applyBorder="1" applyAlignment="1" applyProtection="1">
      <alignment horizontal="left"/>
    </xf>
    <xf numFmtId="173" fontId="2" fillId="0" borderId="71" xfId="0" applyNumberFormat="1" applyFont="1" applyFill="1" applyBorder="1" applyProtection="1">
      <protection locked="0"/>
    </xf>
    <xf numFmtId="3" fontId="10" fillId="36" borderId="52" xfId="0" applyNumberFormat="1" applyFont="1" applyFill="1" applyBorder="1" applyAlignment="1" applyProtection="1">
      <alignment horizontal="right"/>
      <protection locked="0"/>
    </xf>
    <xf numFmtId="3" fontId="10" fillId="36" borderId="10" xfId="0" applyNumberFormat="1" applyFont="1" applyFill="1" applyBorder="1" applyAlignment="1" applyProtection="1">
      <alignment horizontal="right"/>
      <protection locked="0"/>
    </xf>
    <xf numFmtId="0" fontId="5" fillId="20" borderId="95" xfId="0" applyFont="1" applyFill="1" applyBorder="1" applyAlignment="1" applyProtection="1">
      <alignment horizontal="center"/>
    </xf>
    <xf numFmtId="0" fontId="5" fillId="20" borderId="56" xfId="0" applyFont="1" applyFill="1" applyBorder="1" applyAlignment="1" applyProtection="1">
      <alignment horizontal="center"/>
    </xf>
    <xf numFmtId="0" fontId="5" fillId="20" borderId="147" xfId="0" applyFont="1" applyFill="1" applyBorder="1" applyAlignment="1" applyProtection="1">
      <alignment horizontal="right"/>
    </xf>
    <xf numFmtId="3" fontId="2" fillId="20" borderId="233" xfId="0" applyNumberFormat="1" applyFont="1" applyFill="1" applyBorder="1" applyAlignment="1" applyProtection="1">
      <alignment horizontal="right"/>
    </xf>
    <xf numFmtId="3" fontId="2" fillId="20" borderId="95" xfId="0" applyNumberFormat="1" applyFont="1" applyFill="1" applyBorder="1" applyAlignment="1" applyProtection="1">
      <alignment horizontal="right"/>
    </xf>
    <xf numFmtId="3" fontId="2" fillId="20" borderId="56" xfId="0" applyNumberFormat="1" applyFont="1" applyFill="1" applyBorder="1" applyAlignment="1" applyProtection="1">
      <alignment horizontal="right"/>
    </xf>
    <xf numFmtId="3" fontId="2" fillId="20" borderId="54" xfId="0" applyNumberFormat="1" applyFont="1" applyFill="1" applyBorder="1" applyAlignment="1" applyProtection="1">
      <alignment horizontal="right"/>
    </xf>
    <xf numFmtId="3" fontId="2" fillId="20" borderId="107" xfId="0" applyNumberFormat="1" applyFont="1" applyFill="1" applyBorder="1" applyAlignment="1" applyProtection="1">
      <alignment horizontal="right"/>
    </xf>
    <xf numFmtId="3" fontId="2" fillId="20" borderId="12" xfId="0" applyNumberFormat="1" applyFont="1" applyFill="1" applyBorder="1" applyAlignment="1" applyProtection="1">
      <alignment horizontal="right"/>
    </xf>
    <xf numFmtId="0" fontId="5" fillId="20" borderId="234" xfId="0" applyFont="1" applyFill="1" applyBorder="1" applyAlignment="1" applyProtection="1">
      <alignment horizontal="center"/>
    </xf>
    <xf numFmtId="0" fontId="5" fillId="20" borderId="235" xfId="0" applyFont="1" applyFill="1" applyBorder="1" applyAlignment="1" applyProtection="1">
      <alignment horizontal="center"/>
    </xf>
    <xf numFmtId="0" fontId="5" fillId="20" borderId="236" xfId="0" applyFont="1" applyFill="1" applyBorder="1" applyAlignment="1" applyProtection="1">
      <alignment horizontal="center"/>
    </xf>
    <xf numFmtId="9" fontId="3" fillId="20" borderId="237" xfId="0" applyNumberFormat="1" applyFont="1" applyFill="1" applyBorder="1" applyAlignment="1" applyProtection="1">
      <alignment horizontal="right"/>
    </xf>
    <xf numFmtId="9" fontId="3" fillId="20" borderId="234" xfId="0" applyNumberFormat="1" applyFont="1" applyFill="1" applyBorder="1" applyAlignment="1" applyProtection="1">
      <alignment horizontal="right"/>
    </xf>
    <xf numFmtId="9" fontId="3" fillId="20" borderId="235" xfId="0" applyNumberFormat="1" applyFont="1" applyFill="1" applyBorder="1" applyAlignment="1" applyProtection="1">
      <alignment horizontal="right"/>
    </xf>
    <xf numFmtId="9" fontId="3" fillId="20" borderId="238" xfId="0" applyNumberFormat="1" applyFont="1" applyFill="1" applyBorder="1" applyAlignment="1" applyProtection="1">
      <alignment horizontal="right"/>
    </xf>
    <xf numFmtId="9" fontId="3" fillId="20" borderId="239" xfId="0" applyNumberFormat="1" applyFont="1" applyFill="1" applyBorder="1" applyAlignment="1" applyProtection="1">
      <alignment horizontal="right"/>
    </xf>
    <xf numFmtId="9" fontId="3" fillId="20" borderId="240" xfId="0" applyNumberFormat="1" applyFont="1" applyFill="1" applyBorder="1" applyAlignment="1" applyProtection="1">
      <alignment horizontal="right"/>
    </xf>
    <xf numFmtId="9" fontId="3" fillId="20" borderId="241" xfId="0" applyNumberFormat="1" applyFont="1" applyFill="1" applyBorder="1" applyAlignment="1" applyProtection="1">
      <alignment horizontal="right"/>
    </xf>
    <xf numFmtId="9" fontId="3" fillId="20" borderId="242" xfId="0" applyNumberFormat="1" applyFont="1" applyFill="1" applyBorder="1" applyAlignment="1" applyProtection="1">
      <alignment horizontal="right"/>
    </xf>
    <xf numFmtId="9" fontId="3" fillId="0" borderId="0" xfId="0" applyNumberFormat="1" applyFont="1" applyFill="1" applyBorder="1" applyAlignment="1" applyProtection="1">
      <alignment horizontal="right"/>
    </xf>
    <xf numFmtId="0" fontId="5" fillId="20" borderId="243" xfId="0" applyFont="1" applyFill="1" applyBorder="1" applyAlignment="1" applyProtection="1">
      <alignment horizontal="center"/>
    </xf>
    <xf numFmtId="0" fontId="5" fillId="20" borderId="244" xfId="0" applyFont="1" applyFill="1" applyBorder="1" applyAlignment="1" applyProtection="1">
      <alignment horizontal="center"/>
    </xf>
    <xf numFmtId="3" fontId="3" fillId="37" borderId="0" xfId="0" applyNumberFormat="1" applyFont="1" applyFill="1" applyBorder="1" applyProtection="1"/>
    <xf numFmtId="1" fontId="3" fillId="35" borderId="2" xfId="0" applyNumberFormat="1" applyFont="1" applyFill="1" applyBorder="1" applyAlignment="1" applyProtection="1">
      <alignment horizontal="center" vertical="center" wrapText="1"/>
    </xf>
    <xf numFmtId="0" fontId="3" fillId="35" borderId="5" xfId="0" applyFont="1" applyFill="1" applyBorder="1" applyAlignment="1" applyProtection="1">
      <alignment horizontal="center"/>
    </xf>
    <xf numFmtId="0" fontId="3" fillId="35" borderId="9" xfId="0" applyFont="1" applyFill="1" applyBorder="1" applyAlignment="1" applyProtection="1">
      <alignment horizontal="center" wrapText="1"/>
    </xf>
    <xf numFmtId="0" fontId="3" fillId="35" borderId="82" xfId="0" applyFont="1" applyFill="1" applyBorder="1" applyAlignment="1" applyProtection="1">
      <alignment horizontal="left"/>
    </xf>
    <xf numFmtId="0" fontId="3" fillId="35" borderId="8" xfId="0" applyFont="1" applyFill="1" applyBorder="1" applyAlignment="1" applyProtection="1">
      <alignment horizontal="left" wrapText="1"/>
    </xf>
    <xf numFmtId="0" fontId="3" fillId="35" borderId="84" xfId="0" applyFont="1" applyFill="1" applyBorder="1" applyProtection="1"/>
    <xf numFmtId="49" fontId="3" fillId="35" borderId="161" xfId="0" applyNumberFormat="1" applyFont="1" applyFill="1" applyBorder="1" applyAlignment="1" applyProtection="1">
      <alignment horizontal="center"/>
    </xf>
    <xf numFmtId="49" fontId="3" fillId="35" borderId="132" xfId="0" applyNumberFormat="1" applyFont="1" applyFill="1" applyBorder="1" applyAlignment="1" applyProtection="1">
      <alignment horizontal="center"/>
    </xf>
    <xf numFmtId="49" fontId="3" fillId="35" borderId="133" xfId="0" applyNumberFormat="1" applyFont="1" applyFill="1" applyBorder="1" applyAlignment="1" applyProtection="1">
      <alignment horizontal="center"/>
    </xf>
    <xf numFmtId="1" fontId="3" fillId="35" borderId="70" xfId="0" applyNumberFormat="1" applyFont="1" applyFill="1" applyBorder="1" applyAlignment="1" applyProtection="1">
      <alignment horizontal="center"/>
    </xf>
    <xf numFmtId="1" fontId="3" fillId="35" borderId="133" xfId="0" applyNumberFormat="1" applyFont="1" applyFill="1" applyBorder="1" applyAlignment="1" applyProtection="1">
      <alignment horizontal="center"/>
    </xf>
    <xf numFmtId="1" fontId="8" fillId="35" borderId="70" xfId="0" applyNumberFormat="1" applyFont="1" applyFill="1" applyBorder="1" applyAlignment="1" applyProtection="1">
      <alignment horizontal="center"/>
    </xf>
    <xf numFmtId="49" fontId="3" fillId="35" borderId="133" xfId="0" applyNumberFormat="1" applyFont="1" applyFill="1" applyBorder="1" applyAlignment="1" applyProtection="1">
      <alignment horizontal="left"/>
    </xf>
    <xf numFmtId="0" fontId="3" fillId="35" borderId="68" xfId="0" applyFont="1" applyFill="1" applyBorder="1" applyAlignment="1" applyProtection="1">
      <alignment horizontal="left"/>
    </xf>
    <xf numFmtId="0" fontId="3" fillId="35" borderId="154" xfId="0" applyFont="1" applyFill="1" applyBorder="1" applyAlignment="1" applyProtection="1">
      <alignment horizontal="left"/>
    </xf>
    <xf numFmtId="49" fontId="3" fillId="35" borderId="9" xfId="0" applyNumberFormat="1" applyFont="1" applyFill="1" applyBorder="1" applyAlignment="1" applyProtection="1">
      <alignment horizontal="left"/>
    </xf>
    <xf numFmtId="1" fontId="3" fillId="35" borderId="70" xfId="0" applyNumberFormat="1" applyFont="1" applyFill="1" applyBorder="1" applyAlignment="1" applyProtection="1">
      <alignment horizontal="left"/>
    </xf>
    <xf numFmtId="49" fontId="16" fillId="35" borderId="8" xfId="0" applyNumberFormat="1" applyFont="1" applyFill="1" applyBorder="1" applyAlignment="1" applyProtection="1">
      <alignment horizontal="left"/>
    </xf>
    <xf numFmtId="0" fontId="99" fillId="35" borderId="25" xfId="0" applyFont="1" applyFill="1" applyBorder="1" applyProtection="1"/>
    <xf numFmtId="0" fontId="5" fillId="35" borderId="9" xfId="5" applyFont="1" applyFill="1" applyBorder="1" applyAlignment="1" applyProtection="1">
      <alignment vertical="top" wrapText="1"/>
    </xf>
    <xf numFmtId="0" fontId="3" fillId="35" borderId="2" xfId="5" applyFont="1" applyFill="1" applyBorder="1" applyProtection="1"/>
    <xf numFmtId="0" fontId="3" fillId="20" borderId="234" xfId="0" applyFont="1" applyFill="1" applyBorder="1" applyAlignment="1" applyProtection="1">
      <alignment horizontal="left" vertical="top" wrapText="1"/>
    </xf>
    <xf numFmtId="0" fontId="33" fillId="20" borderId="235" xfId="0" applyFont="1" applyFill="1" applyBorder="1" applyAlignment="1" applyProtection="1">
      <alignment horizontal="left" vertical="top" wrapText="1"/>
    </xf>
    <xf numFmtId="0" fontId="33" fillId="20" borderId="241" xfId="0" applyFont="1" applyFill="1" applyBorder="1" applyAlignment="1" applyProtection="1">
      <alignment horizontal="left" vertical="top" wrapText="1"/>
    </xf>
    <xf numFmtId="0" fontId="4" fillId="20" borderId="235" xfId="0" applyFont="1" applyFill="1" applyBorder="1" applyProtection="1"/>
    <xf numFmtId="0" fontId="33" fillId="20" borderId="246" xfId="0" applyFont="1" applyFill="1" applyBorder="1" applyProtection="1"/>
    <xf numFmtId="3" fontId="89" fillId="20" borderId="242" xfId="0" applyNumberFormat="1" applyFont="1" applyFill="1" applyBorder="1" applyProtection="1"/>
    <xf numFmtId="0" fontId="2" fillId="20" borderId="242" xfId="0" applyFont="1" applyFill="1" applyBorder="1" applyAlignment="1" applyProtection="1">
      <alignment vertical="top"/>
    </xf>
    <xf numFmtId="9" fontId="43" fillId="20" borderId="241" xfId="0" applyNumberFormat="1" applyFont="1" applyFill="1" applyBorder="1" applyProtection="1"/>
    <xf numFmtId="3" fontId="89" fillId="20" borderId="247" xfId="0" applyNumberFormat="1" applyFont="1" applyFill="1" applyBorder="1" applyProtection="1"/>
    <xf numFmtId="0" fontId="2" fillId="20" borderId="248" xfId="0" applyFont="1" applyFill="1" applyBorder="1" applyAlignment="1" applyProtection="1">
      <alignment vertical="top"/>
    </xf>
    <xf numFmtId="3" fontId="89" fillId="20" borderId="246" xfId="0" applyNumberFormat="1" applyFont="1" applyFill="1" applyBorder="1" applyProtection="1"/>
    <xf numFmtId="3" fontId="16" fillId="20" borderId="246" xfId="0" applyNumberFormat="1" applyFont="1" applyFill="1" applyBorder="1" applyProtection="1"/>
    <xf numFmtId="9" fontId="43" fillId="20" borderId="242" xfId="0" applyNumberFormat="1" applyFont="1" applyFill="1" applyBorder="1" applyProtection="1"/>
    <xf numFmtId="9" fontId="43" fillId="20" borderId="238" xfId="0" applyNumberFormat="1" applyFont="1" applyFill="1" applyBorder="1" applyProtection="1"/>
    <xf numFmtId="3" fontId="10" fillId="20" borderId="242" xfId="0" applyNumberFormat="1" applyFont="1" applyFill="1" applyBorder="1" applyAlignment="1" applyProtection="1">
      <alignment vertical="top"/>
      <protection locked="0"/>
    </xf>
    <xf numFmtId="3" fontId="89" fillId="20" borderId="249" xfId="0" applyNumberFormat="1" applyFont="1" applyFill="1" applyBorder="1" applyProtection="1"/>
    <xf numFmtId="3" fontId="3" fillId="20" borderId="250" xfId="0" applyNumberFormat="1" applyFont="1" applyFill="1" applyBorder="1" applyProtection="1"/>
    <xf numFmtId="9" fontId="43" fillId="20" borderId="240" xfId="0" applyNumberFormat="1" applyFont="1" applyFill="1" applyBorder="1" applyProtection="1"/>
    <xf numFmtId="3" fontId="89" fillId="20" borderId="251" xfId="0" applyNumberFormat="1" applyFont="1" applyFill="1" applyBorder="1" applyProtection="1"/>
    <xf numFmtId="0" fontId="9" fillId="20" borderId="242" xfId="0" applyFont="1" applyFill="1" applyBorder="1" applyAlignment="1" applyProtection="1">
      <alignment vertical="top"/>
    </xf>
    <xf numFmtId="9" fontId="43" fillId="20" borderId="238" xfId="0" quotePrefix="1" applyNumberFormat="1" applyFont="1" applyFill="1" applyBorder="1" applyProtection="1"/>
    <xf numFmtId="3" fontId="89" fillId="20" borderId="252" xfId="0" applyNumberFormat="1" applyFont="1" applyFill="1" applyBorder="1" applyProtection="1"/>
    <xf numFmtId="0" fontId="2" fillId="20" borderId="242" xfId="0" applyFont="1" applyFill="1" applyBorder="1" applyAlignment="1" applyProtection="1">
      <alignment vertical="top"/>
      <protection locked="0"/>
    </xf>
    <xf numFmtId="0" fontId="2" fillId="20" borderId="240" xfId="0" applyFont="1" applyFill="1" applyBorder="1" applyAlignment="1" applyProtection="1">
      <alignment vertical="top"/>
      <protection locked="0"/>
    </xf>
    <xf numFmtId="9" fontId="118" fillId="20" borderId="242" xfId="0" applyNumberFormat="1" applyFont="1" applyFill="1" applyBorder="1" applyAlignment="1" applyProtection="1"/>
    <xf numFmtId="9" fontId="43" fillId="20" borderId="239" xfId="0" applyNumberFormat="1" applyFont="1" applyFill="1" applyBorder="1" applyProtection="1"/>
    <xf numFmtId="3" fontId="102" fillId="20" borderId="253" xfId="0" applyNumberFormat="1" applyFont="1" applyFill="1" applyBorder="1" applyProtection="1"/>
    <xf numFmtId="3" fontId="89" fillId="20" borderId="253" xfId="0" applyNumberFormat="1" applyFont="1" applyFill="1" applyBorder="1" applyProtection="1"/>
    <xf numFmtId="0" fontId="1" fillId="20" borderId="254" xfId="0" applyFont="1" applyFill="1" applyBorder="1" applyProtection="1"/>
    <xf numFmtId="3" fontId="2" fillId="21" borderId="239" xfId="0" applyNumberFormat="1" applyFont="1" applyFill="1" applyBorder="1" applyAlignment="1" applyProtection="1">
      <alignment horizontal="right"/>
    </xf>
    <xf numFmtId="3" fontId="89" fillId="20" borderId="255" xfId="0" applyNumberFormat="1" applyFont="1" applyFill="1" applyBorder="1" applyProtection="1"/>
    <xf numFmtId="0" fontId="7" fillId="20" borderId="27" xfId="0" applyFont="1" applyFill="1" applyBorder="1" applyAlignment="1">
      <alignment vertical="top" wrapText="1"/>
    </xf>
    <xf numFmtId="0" fontId="0" fillId="20" borderId="27" xfId="0" applyFill="1" applyBorder="1" applyAlignment="1">
      <alignment vertical="top" wrapText="1"/>
    </xf>
    <xf numFmtId="3" fontId="8" fillId="20" borderId="27" xfId="0" applyNumberFormat="1" applyFont="1" applyFill="1" applyBorder="1" applyAlignment="1" applyProtection="1">
      <alignment vertical="top" wrapText="1"/>
    </xf>
    <xf numFmtId="3" fontId="8" fillId="20" borderId="27" xfId="0" applyNumberFormat="1" applyFont="1" applyFill="1" applyBorder="1" applyAlignment="1" applyProtection="1">
      <alignment horizontal="left" wrapText="1"/>
    </xf>
    <xf numFmtId="3" fontId="33" fillId="20" borderId="228" xfId="0" applyNumberFormat="1" applyFont="1" applyFill="1" applyBorder="1" applyAlignment="1" applyProtection="1">
      <alignment wrapText="1"/>
    </xf>
    <xf numFmtId="3" fontId="43" fillId="20" borderId="0" xfId="0" applyNumberFormat="1" applyFont="1" applyFill="1" applyBorder="1" applyProtection="1"/>
    <xf numFmtId="3" fontId="43" fillId="20" borderId="27" xfId="0" applyNumberFormat="1" applyFont="1" applyFill="1" applyBorder="1" applyProtection="1"/>
    <xf numFmtId="3" fontId="34" fillId="20" borderId="179" xfId="5" quotePrefix="1" applyNumberFormat="1" applyFont="1" applyFill="1" applyBorder="1" applyAlignment="1" applyProtection="1">
      <alignment horizontal="left"/>
    </xf>
    <xf numFmtId="3" fontId="43" fillId="20" borderId="27" xfId="9" applyNumberFormat="1" applyFont="1" applyFill="1" applyBorder="1" applyAlignment="1" applyProtection="1">
      <alignment horizontal="center"/>
    </xf>
    <xf numFmtId="3" fontId="43" fillId="20" borderId="179" xfId="12" applyNumberFormat="1" applyFont="1" applyFill="1" applyBorder="1" applyAlignment="1" applyProtection="1">
      <alignment horizontal="center"/>
    </xf>
    <xf numFmtId="3" fontId="43" fillId="20" borderId="179" xfId="9" applyNumberFormat="1" applyFont="1" applyFill="1" applyBorder="1" applyAlignment="1" applyProtection="1">
      <alignment horizontal="center"/>
    </xf>
    <xf numFmtId="3" fontId="75" fillId="20" borderId="27" xfId="9" applyNumberFormat="1" applyFont="1" applyFill="1" applyBorder="1" applyAlignment="1" applyProtection="1">
      <alignment horizontal="center"/>
    </xf>
    <xf numFmtId="3" fontId="43" fillId="20" borderId="186" xfId="12" applyNumberFormat="1" applyFont="1" applyFill="1" applyBorder="1" applyAlignment="1" applyProtection="1">
      <alignment horizontal="center"/>
    </xf>
    <xf numFmtId="3" fontId="100" fillId="20" borderId="186" xfId="12" applyNumberFormat="1" applyFont="1" applyFill="1" applyBorder="1" applyAlignment="1" applyProtection="1">
      <alignment horizontal="center"/>
    </xf>
    <xf numFmtId="3" fontId="100" fillId="20" borderId="179" xfId="9" applyNumberFormat="1" applyFont="1" applyFill="1" applyBorder="1" applyAlignment="1" applyProtection="1">
      <alignment horizontal="center"/>
    </xf>
    <xf numFmtId="3" fontId="100" fillId="20" borderId="27" xfId="9" applyNumberFormat="1" applyFont="1" applyFill="1" applyBorder="1" applyAlignment="1" applyProtection="1">
      <alignment horizontal="center"/>
    </xf>
    <xf numFmtId="3" fontId="43" fillId="20" borderId="256" xfId="9" applyNumberFormat="1" applyFont="1" applyFill="1" applyBorder="1" applyAlignment="1" applyProtection="1">
      <alignment horizontal="center"/>
    </xf>
    <xf numFmtId="3" fontId="101" fillId="20" borderId="27" xfId="9" applyNumberFormat="1" applyFont="1" applyFill="1" applyBorder="1" applyAlignment="1" applyProtection="1">
      <alignment horizontal="center"/>
    </xf>
    <xf numFmtId="3" fontId="43" fillId="20" borderId="179" xfId="0" applyNumberFormat="1" applyFont="1" applyFill="1" applyBorder="1" applyProtection="1"/>
    <xf numFmtId="3" fontId="5" fillId="20" borderId="102" xfId="0" applyNumberFormat="1" applyFont="1" applyFill="1" applyBorder="1" applyAlignment="1" applyProtection="1">
      <alignment horizontal="left" vertical="center" wrapText="1"/>
    </xf>
    <xf numFmtId="3" fontId="2" fillId="20" borderId="92" xfId="0" applyNumberFormat="1" applyFont="1" applyFill="1" applyBorder="1" applyAlignment="1" applyProtection="1">
      <alignment horizontal="right"/>
    </xf>
    <xf numFmtId="3" fontId="2" fillId="20" borderId="178" xfId="0" applyNumberFormat="1" applyFont="1" applyFill="1" applyBorder="1" applyAlignment="1" applyProtection="1">
      <alignment horizontal="right"/>
    </xf>
    <xf numFmtId="3" fontId="2" fillId="20" borderId="165" xfId="0" applyNumberFormat="1" applyFont="1" applyFill="1" applyBorder="1" applyAlignment="1" applyProtection="1">
      <alignment horizontal="right"/>
    </xf>
    <xf numFmtId="3" fontId="2" fillId="20" borderId="96" xfId="0" applyNumberFormat="1" applyFont="1" applyFill="1" applyBorder="1" applyAlignment="1" applyProtection="1">
      <alignment horizontal="right"/>
    </xf>
    <xf numFmtId="3" fontId="2" fillId="20" borderId="65" xfId="0" applyNumberFormat="1" applyFont="1" applyFill="1" applyBorder="1" applyAlignment="1" applyProtection="1">
      <alignment horizontal="right"/>
    </xf>
    <xf numFmtId="3" fontId="2" fillId="20" borderId="166" xfId="0" applyNumberFormat="1" applyFont="1" applyFill="1" applyBorder="1" applyAlignment="1" applyProtection="1">
      <alignment horizontal="right"/>
    </xf>
    <xf numFmtId="3" fontId="2" fillId="20" borderId="224" xfId="0" applyNumberFormat="1" applyFont="1" applyFill="1" applyBorder="1" applyAlignment="1" applyProtection="1">
      <alignment horizontal="right"/>
    </xf>
    <xf numFmtId="3" fontId="2" fillId="20" borderId="178" xfId="0" applyNumberFormat="1" applyFont="1" applyFill="1" applyBorder="1" applyProtection="1"/>
    <xf numFmtId="0" fontId="0" fillId="20" borderId="97" xfId="0" applyFill="1" applyBorder="1" applyProtection="1"/>
    <xf numFmtId="3" fontId="5" fillId="20" borderId="257" xfId="0" applyNumberFormat="1" applyFont="1" applyFill="1" applyBorder="1" applyAlignment="1" applyProtection="1">
      <alignment horizontal="left" vertical="center" wrapText="1"/>
    </xf>
    <xf numFmtId="0" fontId="0" fillId="20" borderId="259" xfId="0" applyFill="1" applyBorder="1" applyProtection="1"/>
    <xf numFmtId="3" fontId="2" fillId="20" borderId="260" xfId="0" applyNumberFormat="1" applyFont="1" applyFill="1" applyBorder="1" applyAlignment="1" applyProtection="1">
      <alignment horizontal="right"/>
    </xf>
    <xf numFmtId="3" fontId="2" fillId="20" borderId="261" xfId="0" applyNumberFormat="1" applyFont="1" applyFill="1" applyBorder="1" applyAlignment="1" applyProtection="1">
      <alignment horizontal="right"/>
    </xf>
    <xf numFmtId="3" fontId="2" fillId="20" borderId="262" xfId="0" applyNumberFormat="1" applyFont="1" applyFill="1" applyBorder="1" applyAlignment="1" applyProtection="1">
      <alignment horizontal="right"/>
    </xf>
    <xf numFmtId="3" fontId="2" fillId="20" borderId="263" xfId="0" applyNumberFormat="1" applyFont="1" applyFill="1" applyBorder="1" applyAlignment="1" applyProtection="1">
      <alignment horizontal="right"/>
    </xf>
    <xf numFmtId="3" fontId="2" fillId="20" borderId="259" xfId="0" applyNumberFormat="1" applyFont="1" applyFill="1" applyBorder="1" applyAlignment="1" applyProtection="1">
      <alignment horizontal="right"/>
    </xf>
    <xf numFmtId="0" fontId="9" fillId="20" borderId="263" xfId="0" applyFont="1" applyFill="1" applyBorder="1" applyProtection="1"/>
    <xf numFmtId="3" fontId="2" fillId="20" borderId="264" xfId="0" applyNumberFormat="1" applyFont="1" applyFill="1" applyBorder="1" applyAlignment="1" applyProtection="1">
      <alignment horizontal="right"/>
    </xf>
    <xf numFmtId="3" fontId="2" fillId="20" borderId="265" xfId="0" applyNumberFormat="1" applyFont="1" applyFill="1" applyBorder="1" applyAlignment="1" applyProtection="1">
      <alignment horizontal="right"/>
    </xf>
    <xf numFmtId="3" fontId="2" fillId="20" borderId="266" xfId="0" applyNumberFormat="1" applyFont="1" applyFill="1" applyBorder="1" applyAlignment="1" applyProtection="1">
      <alignment horizontal="right"/>
    </xf>
    <xf numFmtId="3" fontId="2" fillId="20" borderId="261" xfId="0" applyNumberFormat="1" applyFont="1" applyFill="1" applyBorder="1" applyProtection="1"/>
    <xf numFmtId="0" fontId="0" fillId="20" borderId="267" xfId="0" applyFill="1" applyBorder="1" applyProtection="1"/>
    <xf numFmtId="3" fontId="13" fillId="37" borderId="5" xfId="0" applyNumberFormat="1" applyFont="1" applyFill="1" applyBorder="1" applyAlignment="1" applyProtection="1">
      <alignment horizontal="right"/>
      <protection locked="0"/>
    </xf>
    <xf numFmtId="3" fontId="3" fillId="35" borderId="128" xfId="0" applyNumberFormat="1" applyFont="1" applyFill="1" applyBorder="1" applyAlignment="1" applyProtection="1">
      <alignment horizontal="left" vertical="top" wrapText="1"/>
    </xf>
    <xf numFmtId="0" fontId="3" fillId="35" borderId="155" xfId="0" applyFont="1" applyFill="1" applyBorder="1" applyAlignment="1" applyProtection="1">
      <alignment horizontal="left" vertical="top" wrapText="1"/>
    </xf>
    <xf numFmtId="3" fontId="3" fillId="35" borderId="60" xfId="0" applyNumberFormat="1" applyFont="1" applyFill="1" applyBorder="1" applyAlignment="1" applyProtection="1">
      <alignment horizontal="left" vertical="top" wrapText="1"/>
    </xf>
    <xf numFmtId="3" fontId="3" fillId="35" borderId="26" xfId="0" applyNumberFormat="1" applyFont="1" applyFill="1" applyBorder="1" applyAlignment="1" applyProtection="1">
      <alignment horizontal="left" vertical="top" wrapText="1"/>
    </xf>
    <xf numFmtId="3" fontId="3" fillId="35" borderId="29" xfId="0" applyNumberFormat="1" applyFont="1" applyFill="1" applyBorder="1" applyAlignment="1" applyProtection="1">
      <alignment horizontal="center"/>
    </xf>
    <xf numFmtId="3" fontId="3" fillId="35" borderId="181" xfId="0" applyNumberFormat="1" applyFont="1" applyFill="1" applyBorder="1" applyAlignment="1" applyProtection="1">
      <alignment vertical="top" wrapText="1"/>
    </xf>
    <xf numFmtId="3" fontId="3" fillId="35" borderId="55" xfId="0" applyNumberFormat="1" applyFont="1" applyFill="1" applyBorder="1" applyAlignment="1" applyProtection="1"/>
    <xf numFmtId="3" fontId="3" fillId="35" borderId="12" xfId="0" applyNumberFormat="1" applyFont="1" applyFill="1" applyBorder="1" applyAlignment="1" applyProtection="1"/>
    <xf numFmtId="3" fontId="13" fillId="37" borderId="3" xfId="0" applyNumberFormat="1" applyFont="1" applyFill="1" applyBorder="1" applyAlignment="1" applyProtection="1">
      <alignment horizontal="right"/>
      <protection locked="0"/>
    </xf>
    <xf numFmtId="3" fontId="3" fillId="35" borderId="92" xfId="0" applyNumberFormat="1" applyFont="1" applyFill="1" applyBorder="1" applyAlignment="1" applyProtection="1"/>
    <xf numFmtId="3" fontId="13" fillId="37" borderId="3" xfId="0" applyNumberFormat="1" applyFont="1" applyFill="1" applyBorder="1" applyAlignment="1" applyProtection="1">
      <alignment horizontal="right"/>
    </xf>
    <xf numFmtId="3" fontId="13" fillId="37" borderId="29" xfId="0" applyNumberFormat="1" applyFont="1" applyFill="1" applyBorder="1" applyAlignment="1" applyProtection="1">
      <alignment horizontal="right"/>
      <protection locked="0"/>
    </xf>
    <xf numFmtId="0" fontId="3" fillId="35" borderId="69" xfId="0" applyFont="1" applyFill="1" applyBorder="1" applyAlignment="1" applyProtection="1">
      <alignment horizontal="left" vertical="top" wrapText="1"/>
    </xf>
    <xf numFmtId="3" fontId="2" fillId="38" borderId="5" xfId="0" applyNumberFormat="1" applyFont="1" applyFill="1" applyBorder="1" applyAlignment="1" applyProtection="1">
      <alignment horizontal="right"/>
    </xf>
    <xf numFmtId="0" fontId="3" fillId="20" borderId="226" xfId="0" applyFont="1" applyFill="1" applyBorder="1" applyProtection="1"/>
    <xf numFmtId="0" fontId="0" fillId="20" borderId="0" xfId="0" applyFill="1" applyBorder="1" applyAlignment="1"/>
    <xf numFmtId="0" fontId="128" fillId="20" borderId="0" xfId="0" applyFont="1" applyFill="1" applyBorder="1" applyAlignment="1">
      <alignment vertical="top" wrapText="1"/>
    </xf>
    <xf numFmtId="0" fontId="128" fillId="20" borderId="0" xfId="0" applyFont="1" applyFill="1" applyBorder="1" applyAlignment="1">
      <alignment wrapText="1"/>
    </xf>
    <xf numFmtId="0" fontId="127" fillId="20" borderId="0" xfId="0" applyFont="1" applyFill="1" applyBorder="1" applyAlignment="1">
      <alignment wrapText="1"/>
    </xf>
    <xf numFmtId="0" fontId="0" fillId="20" borderId="0" xfId="0" applyFill="1" applyBorder="1" applyAlignment="1">
      <alignment wrapText="1"/>
    </xf>
    <xf numFmtId="0" fontId="0" fillId="20" borderId="0" xfId="0" applyFill="1" applyBorder="1" applyAlignment="1">
      <alignment horizontal="left" vertical="top" wrapText="1"/>
    </xf>
    <xf numFmtId="0" fontId="126" fillId="20" borderId="0" xfId="0" applyFont="1" applyFill="1" applyBorder="1" applyAlignment="1">
      <alignment wrapText="1"/>
    </xf>
    <xf numFmtId="0" fontId="7" fillId="20" borderId="0" xfId="0" applyFont="1" applyFill="1" applyBorder="1" applyAlignment="1">
      <alignment wrapText="1"/>
    </xf>
    <xf numFmtId="0" fontId="3" fillId="20" borderId="269" xfId="0" applyFont="1" applyFill="1" applyBorder="1" applyAlignment="1" applyProtection="1">
      <alignment horizontal="center"/>
    </xf>
    <xf numFmtId="3" fontId="43" fillId="21" borderId="271" xfId="0" applyNumberFormat="1" applyFont="1" applyFill="1" applyBorder="1" applyProtection="1"/>
    <xf numFmtId="3" fontId="43" fillId="21" borderId="272" xfId="0" applyNumberFormat="1" applyFont="1" applyFill="1" applyBorder="1" applyProtection="1"/>
    <xf numFmtId="3" fontId="43" fillId="21" borderId="269" xfId="0" applyNumberFormat="1" applyFont="1" applyFill="1" applyBorder="1" applyProtection="1"/>
    <xf numFmtId="3" fontId="43" fillId="21" borderId="273" xfId="0" applyNumberFormat="1" applyFont="1" applyFill="1" applyBorder="1" applyProtection="1"/>
    <xf numFmtId="3" fontId="43" fillId="21" borderId="274" xfId="0" applyNumberFormat="1" applyFont="1" applyFill="1" applyBorder="1" applyProtection="1"/>
    <xf numFmtId="3" fontId="43" fillId="21" borderId="275" xfId="0" applyNumberFormat="1" applyFont="1" applyFill="1" applyBorder="1" applyProtection="1"/>
    <xf numFmtId="3" fontId="43" fillId="21" borderId="276" xfId="0" applyNumberFormat="1" applyFont="1" applyFill="1" applyBorder="1" applyProtection="1"/>
    <xf numFmtId="3" fontId="43" fillId="21" borderId="277" xfId="0" applyNumberFormat="1" applyFont="1" applyFill="1" applyBorder="1" applyProtection="1"/>
    <xf numFmtId="3" fontId="43" fillId="21" borderId="268" xfId="0" applyNumberFormat="1" applyFont="1" applyFill="1" applyBorder="1" applyProtection="1"/>
    <xf numFmtId="3" fontId="43" fillId="20" borderId="276" xfId="0" applyNumberFormat="1" applyFont="1" applyFill="1" applyBorder="1" applyProtection="1"/>
    <xf numFmtId="3" fontId="43" fillId="20" borderId="277" xfId="0" applyNumberFormat="1" applyFont="1" applyFill="1" applyBorder="1" applyProtection="1"/>
    <xf numFmtId="1" fontId="43" fillId="20" borderId="278" xfId="0" applyNumberFormat="1" applyFont="1" applyFill="1" applyBorder="1" applyProtection="1"/>
    <xf numFmtId="3" fontId="3" fillId="20" borderId="280" xfId="0" applyNumberFormat="1" applyFont="1" applyFill="1" applyBorder="1" applyProtection="1"/>
    <xf numFmtId="3" fontId="3" fillId="20" borderId="279" xfId="0" applyNumberFormat="1" applyFont="1" applyFill="1" applyBorder="1" applyProtection="1"/>
    <xf numFmtId="3" fontId="3" fillId="20" borderId="281" xfId="0" applyNumberFormat="1" applyFont="1" applyFill="1" applyBorder="1" applyProtection="1"/>
    <xf numFmtId="3" fontId="34" fillId="20" borderId="280" xfId="0" applyNumberFormat="1" applyFont="1" applyFill="1" applyBorder="1" applyProtection="1"/>
    <xf numFmtId="1" fontId="3" fillId="20" borderId="282" xfId="0" applyNumberFormat="1" applyFont="1" applyFill="1" applyBorder="1" applyProtection="1"/>
    <xf numFmtId="3" fontId="108" fillId="0" borderId="0" xfId="5" applyNumberFormat="1" applyFont="1" applyFill="1" applyBorder="1" applyAlignment="1" applyProtection="1">
      <alignment horizontal="right"/>
    </xf>
    <xf numFmtId="0" fontId="3" fillId="20" borderId="244" xfId="5" applyFont="1" applyFill="1" applyBorder="1" applyAlignment="1" applyProtection="1">
      <alignment horizontal="center" vertical="top"/>
    </xf>
    <xf numFmtId="0" fontId="3" fillId="20" borderId="244" xfId="5" applyFont="1" applyFill="1" applyBorder="1" applyProtection="1"/>
    <xf numFmtId="1" fontId="3" fillId="20" borderId="244" xfId="5" applyNumberFormat="1" applyFont="1" applyFill="1" applyBorder="1" applyAlignment="1" applyProtection="1">
      <alignment horizontal="left"/>
    </xf>
    <xf numFmtId="168" fontId="39" fillId="20" borderId="283" xfId="5" applyNumberFormat="1" applyFont="1" applyFill="1" applyBorder="1" applyProtection="1"/>
    <xf numFmtId="3" fontId="43" fillId="20" borderId="284" xfId="5" applyNumberFormat="1" applyFont="1" applyFill="1" applyBorder="1" applyProtection="1"/>
    <xf numFmtId="9" fontId="43" fillId="20" borderId="242" xfId="5" quotePrefix="1" applyNumberFormat="1" applyFont="1" applyFill="1" applyBorder="1" applyAlignment="1" applyProtection="1">
      <alignment horizontal="right"/>
    </xf>
    <xf numFmtId="3" fontId="40" fillId="20" borderId="254" xfId="5" applyNumberFormat="1" applyFont="1" applyFill="1" applyBorder="1" applyAlignment="1" applyProtection="1">
      <alignment horizontal="right"/>
    </xf>
    <xf numFmtId="3" fontId="40" fillId="20" borderId="246" xfId="5" applyNumberFormat="1" applyFont="1" applyFill="1" applyBorder="1" applyAlignment="1" applyProtection="1">
      <alignment horizontal="right"/>
    </xf>
    <xf numFmtId="3" fontId="40" fillId="20" borderId="255" xfId="5" applyNumberFormat="1" applyFont="1" applyFill="1" applyBorder="1" applyAlignment="1" applyProtection="1">
      <alignment horizontal="right"/>
    </xf>
    <xf numFmtId="9" fontId="43" fillId="20" borderId="251" xfId="5" applyNumberFormat="1" applyFont="1" applyFill="1" applyBorder="1" applyProtection="1"/>
    <xf numFmtId="0" fontId="3" fillId="20" borderId="285" xfId="5" applyFont="1" applyFill="1" applyBorder="1" applyProtection="1"/>
    <xf numFmtId="3" fontId="3" fillId="20" borderId="286" xfId="5" applyNumberFormat="1" applyFont="1" applyFill="1" applyBorder="1" applyProtection="1"/>
    <xf numFmtId="0" fontId="3" fillId="20" borderId="286" xfId="5" applyFont="1" applyFill="1" applyBorder="1" applyProtection="1"/>
    <xf numFmtId="0" fontId="7" fillId="20" borderId="286" xfId="5" applyFont="1" applyFill="1" applyBorder="1" applyAlignment="1" applyProtection="1">
      <alignment horizontal="left"/>
    </xf>
    <xf numFmtId="3" fontId="39" fillId="20" borderId="286" xfId="5" applyNumberFormat="1" applyFont="1" applyFill="1" applyBorder="1" applyProtection="1"/>
    <xf numFmtId="168" fontId="39" fillId="20" borderId="287" xfId="5" applyNumberFormat="1" applyFont="1" applyFill="1" applyBorder="1" applyProtection="1"/>
    <xf numFmtId="3" fontId="3" fillId="20" borderId="288" xfId="5" applyNumberFormat="1" applyFont="1" applyFill="1" applyBorder="1" applyProtection="1"/>
    <xf numFmtId="3" fontId="39" fillId="20" borderId="286" xfId="5" applyNumberFormat="1" applyFont="1" applyFill="1" applyBorder="1" applyAlignment="1" applyProtection="1">
      <alignment horizontal="right"/>
    </xf>
    <xf numFmtId="0" fontId="129" fillId="20" borderId="286" xfId="0" applyFont="1" applyFill="1" applyBorder="1" applyAlignment="1">
      <alignment vertical="top" wrapText="1"/>
    </xf>
    <xf numFmtId="3" fontId="39" fillId="20" borderId="289" xfId="5" applyNumberFormat="1" applyFont="1" applyFill="1" applyBorder="1" applyAlignment="1" applyProtection="1">
      <alignment horizontal="right"/>
    </xf>
    <xf numFmtId="3" fontId="3" fillId="20" borderId="285" xfId="5" applyNumberFormat="1" applyFont="1" applyFill="1" applyBorder="1" applyProtection="1"/>
    <xf numFmtId="3" fontId="115" fillId="20" borderId="286" xfId="5" applyNumberFormat="1" applyFont="1" applyFill="1" applyBorder="1" applyAlignment="1" applyProtection="1">
      <alignment horizontal="left" vertical="top"/>
    </xf>
    <xf numFmtId="0" fontId="116" fillId="20" borderId="286" xfId="0" applyFont="1" applyFill="1" applyBorder="1" applyAlignment="1"/>
    <xf numFmtId="3" fontId="3" fillId="20" borderId="285" xfId="5" applyNumberFormat="1" applyFont="1" applyFill="1" applyBorder="1" applyAlignment="1" applyProtection="1">
      <alignment horizontal="right"/>
    </xf>
    <xf numFmtId="3" fontId="3" fillId="20" borderId="286" xfId="5" applyNumberFormat="1" applyFont="1" applyFill="1" applyBorder="1" applyAlignment="1" applyProtection="1">
      <alignment horizontal="right"/>
    </xf>
    <xf numFmtId="0" fontId="130" fillId="20" borderId="286" xfId="0" applyFont="1" applyFill="1" applyBorder="1" applyAlignment="1">
      <alignment horizontal="left" vertical="top"/>
    </xf>
    <xf numFmtId="0" fontId="130" fillId="20" borderId="289" xfId="0" applyFont="1" applyFill="1" applyBorder="1" applyAlignment="1">
      <alignment horizontal="left" vertical="top"/>
    </xf>
    <xf numFmtId="3" fontId="3" fillId="20" borderId="290" xfId="5" applyNumberFormat="1" applyFont="1" applyFill="1" applyBorder="1" applyAlignment="1" applyProtection="1">
      <alignment wrapText="1"/>
    </xf>
    <xf numFmtId="3" fontId="3" fillId="20" borderId="246" xfId="5" applyNumberFormat="1" applyFont="1" applyFill="1" applyBorder="1" applyProtection="1"/>
    <xf numFmtId="0" fontId="3" fillId="20" borderId="246" xfId="5" applyFont="1" applyFill="1" applyBorder="1" applyAlignment="1" applyProtection="1">
      <alignment wrapText="1"/>
    </xf>
    <xf numFmtId="0" fontId="7" fillId="20" borderId="246" xfId="5" applyFont="1" applyFill="1" applyBorder="1" applyAlignment="1" applyProtection="1">
      <alignment horizontal="left" wrapText="1"/>
    </xf>
    <xf numFmtId="3" fontId="39" fillId="20" borderId="246" xfId="5" applyNumberFormat="1" applyFont="1" applyFill="1" applyBorder="1" applyProtection="1"/>
    <xf numFmtId="3" fontId="3" fillId="20" borderId="246" xfId="5" applyNumberFormat="1" applyFont="1" applyFill="1" applyBorder="1" applyAlignment="1" applyProtection="1">
      <alignment horizontal="left"/>
    </xf>
    <xf numFmtId="0" fontId="0" fillId="20" borderId="246" xfId="0" applyFill="1" applyBorder="1" applyAlignment="1"/>
    <xf numFmtId="3" fontId="39" fillId="20" borderId="255" xfId="5" applyNumberFormat="1" applyFont="1" applyFill="1" applyBorder="1" applyAlignment="1" applyProtection="1">
      <alignment horizontal="left"/>
    </xf>
    <xf numFmtId="168" fontId="3" fillId="20" borderId="290" xfId="5" applyNumberFormat="1" applyFont="1" applyFill="1" applyBorder="1" applyAlignment="1" applyProtection="1">
      <alignment horizontal="left"/>
    </xf>
    <xf numFmtId="168" fontId="39" fillId="20" borderId="246" xfId="5" applyNumberFormat="1" applyFont="1" applyFill="1" applyBorder="1" applyAlignment="1" applyProtection="1">
      <alignment horizontal="left"/>
    </xf>
    <xf numFmtId="3" fontId="3" fillId="20" borderId="247" xfId="5" applyNumberFormat="1" applyFont="1" applyFill="1" applyBorder="1" applyAlignment="1" applyProtection="1">
      <alignment horizontal="left"/>
    </xf>
    <xf numFmtId="3" fontId="3" fillId="20" borderId="253" xfId="5" applyNumberFormat="1" applyFont="1" applyFill="1" applyBorder="1" applyAlignment="1" applyProtection="1">
      <alignment horizontal="left"/>
    </xf>
    <xf numFmtId="0" fontId="22" fillId="35" borderId="68" xfId="5" applyFont="1" applyFill="1" applyBorder="1" applyProtection="1"/>
    <xf numFmtId="3" fontId="2" fillId="38" borderId="5" xfId="5" applyNumberFormat="1" applyFont="1" applyFill="1" applyBorder="1" applyAlignment="1" applyProtection="1"/>
    <xf numFmtId="0" fontId="0" fillId="20" borderId="291" xfId="0" applyFill="1" applyBorder="1"/>
    <xf numFmtId="0" fontId="0" fillId="20" borderId="292" xfId="0" applyFill="1" applyBorder="1"/>
    <xf numFmtId="1" fontId="5" fillId="20" borderId="293" xfId="0" applyNumberFormat="1" applyFont="1" applyFill="1" applyBorder="1" applyAlignment="1" applyProtection="1">
      <alignment horizontal="left"/>
    </xf>
    <xf numFmtId="1" fontId="3" fillId="20" borderId="294" xfId="0" applyNumberFormat="1" applyFont="1" applyFill="1" applyBorder="1" applyAlignment="1" applyProtection="1">
      <alignment horizontal="left"/>
    </xf>
    <xf numFmtId="1" fontId="5" fillId="20" borderId="294" xfId="0" applyNumberFormat="1" applyFont="1" applyFill="1" applyBorder="1" applyAlignment="1" applyProtection="1">
      <alignment horizontal="left"/>
    </xf>
    <xf numFmtId="0" fontId="0" fillId="20" borderId="295" xfId="0" applyFill="1" applyBorder="1"/>
    <xf numFmtId="1" fontId="3" fillId="20" borderId="296" xfId="0" applyNumberFormat="1" applyFont="1" applyFill="1" applyBorder="1" applyAlignment="1" applyProtection="1">
      <alignment horizontal="left"/>
    </xf>
    <xf numFmtId="1" fontId="5" fillId="20" borderId="297" xfId="0" applyNumberFormat="1" applyFont="1" applyFill="1" applyBorder="1" applyAlignment="1" applyProtection="1">
      <alignment horizontal="left"/>
    </xf>
    <xf numFmtId="1" fontId="5" fillId="20" borderId="298" xfId="0" applyNumberFormat="1" applyFont="1" applyFill="1" applyBorder="1" applyAlignment="1" applyProtection="1">
      <alignment horizontal="left"/>
    </xf>
    <xf numFmtId="0" fontId="3" fillId="20" borderId="244" xfId="5" applyFont="1" applyFill="1" applyBorder="1" applyAlignment="1" applyProtection="1">
      <alignment horizontal="center"/>
    </xf>
    <xf numFmtId="0" fontId="3" fillId="20" borderId="244" xfId="5" applyFont="1" applyFill="1" applyBorder="1" applyAlignment="1" applyProtection="1"/>
    <xf numFmtId="0" fontId="3" fillId="20" borderId="244" xfId="0" applyFont="1" applyFill="1" applyBorder="1" applyAlignment="1" applyProtection="1"/>
    <xf numFmtId="0" fontId="9" fillId="20" borderId="299" xfId="0" applyFont="1" applyFill="1" applyBorder="1" applyAlignment="1" applyProtection="1">
      <alignment horizontal="left"/>
    </xf>
    <xf numFmtId="9" fontId="43" fillId="20" borderId="300" xfId="0" quotePrefix="1" applyNumberFormat="1" applyFont="1" applyFill="1" applyBorder="1" applyAlignment="1" applyProtection="1">
      <alignment horizontal="right"/>
    </xf>
    <xf numFmtId="9" fontId="43" fillId="20" borderId="242" xfId="0" quotePrefix="1" applyNumberFormat="1" applyFont="1" applyFill="1" applyBorder="1" applyAlignment="1" applyProtection="1">
      <alignment horizontal="right"/>
    </xf>
    <xf numFmtId="3" fontId="43" fillId="20" borderId="254" xfId="0" applyNumberFormat="1" applyFont="1" applyFill="1" applyBorder="1" applyAlignment="1" applyProtection="1">
      <alignment horizontal="right"/>
    </xf>
    <xf numFmtId="0" fontId="0" fillId="20" borderId="301" xfId="0" applyFill="1" applyBorder="1"/>
    <xf numFmtId="9" fontId="43" fillId="20" borderId="238" xfId="0" quotePrefix="1" applyNumberFormat="1" applyFont="1" applyFill="1" applyBorder="1" applyAlignment="1" applyProtection="1">
      <alignment horizontal="right"/>
    </xf>
    <xf numFmtId="9" fontId="43" fillId="20" borderId="239" xfId="0" quotePrefix="1" applyNumberFormat="1" applyFont="1" applyFill="1" applyBorder="1" applyAlignment="1" applyProtection="1">
      <alignment horizontal="right"/>
    </xf>
    <xf numFmtId="9" fontId="43" fillId="20" borderId="251" xfId="0" quotePrefix="1" applyNumberFormat="1" applyFont="1" applyFill="1" applyBorder="1" applyAlignment="1" applyProtection="1">
      <alignment horizontal="right"/>
    </xf>
    <xf numFmtId="3" fontId="3" fillId="20" borderId="302" xfId="0" applyNumberFormat="1" applyFont="1" applyFill="1" applyBorder="1" applyAlignment="1" applyProtection="1">
      <alignment wrapText="1"/>
    </xf>
    <xf numFmtId="3" fontId="3" fillId="20" borderId="293" xfId="0" applyNumberFormat="1" applyFont="1" applyFill="1" applyBorder="1" applyAlignment="1" applyProtection="1"/>
    <xf numFmtId="3" fontId="3" fillId="20" borderId="293" xfId="0" applyNumberFormat="1" applyFont="1" applyFill="1" applyBorder="1" applyAlignment="1" applyProtection="1">
      <alignment vertical="center" wrapText="1"/>
    </xf>
    <xf numFmtId="0" fontId="2" fillId="20" borderId="293" xfId="0" applyFont="1" applyFill="1" applyBorder="1" applyAlignment="1" applyProtection="1">
      <alignment wrapText="1"/>
    </xf>
    <xf numFmtId="0" fontId="9" fillId="20" borderId="303" xfId="0" applyFont="1" applyFill="1" applyBorder="1" applyAlignment="1" applyProtection="1">
      <alignment horizontal="left" wrapText="1"/>
    </xf>
    <xf numFmtId="3" fontId="3" fillId="20" borderId="304" xfId="0" applyNumberFormat="1" applyFont="1" applyFill="1" applyBorder="1" applyAlignment="1" applyProtection="1">
      <alignment horizontal="right"/>
    </xf>
    <xf numFmtId="0" fontId="0" fillId="20" borderId="293" xfId="0" applyFill="1" applyBorder="1"/>
    <xf numFmtId="3" fontId="39" fillId="20" borderId="305" xfId="0" applyNumberFormat="1" applyFont="1" applyFill="1" applyBorder="1" applyAlignment="1" applyProtection="1">
      <alignment horizontal="right"/>
    </xf>
    <xf numFmtId="3" fontId="3" fillId="20" borderId="293" xfId="0" applyNumberFormat="1" applyFont="1" applyFill="1" applyBorder="1" applyAlignment="1" applyProtection="1">
      <alignment horizontal="right"/>
    </xf>
    <xf numFmtId="3" fontId="115" fillId="20" borderId="293" xfId="0" applyNumberFormat="1" applyFont="1" applyFill="1" applyBorder="1" applyAlignment="1" applyProtection="1">
      <alignment horizontal="left" vertical="top"/>
    </xf>
    <xf numFmtId="0" fontId="116" fillId="20" borderId="305" xfId="0" applyFont="1" applyFill="1" applyBorder="1" applyAlignment="1">
      <alignment horizontal="left" vertical="top"/>
    </xf>
    <xf numFmtId="3" fontId="3" fillId="20" borderId="290" xfId="0" applyNumberFormat="1" applyFont="1" applyFill="1" applyBorder="1" applyAlignment="1" applyProtection="1">
      <alignment wrapText="1"/>
    </xf>
    <xf numFmtId="3" fontId="3" fillId="20" borderId="246" xfId="0" applyNumberFormat="1" applyFont="1" applyFill="1" applyBorder="1" applyAlignment="1" applyProtection="1"/>
    <xf numFmtId="3" fontId="3" fillId="20" borderId="246" xfId="0" applyNumberFormat="1" applyFont="1" applyFill="1" applyBorder="1" applyAlignment="1" applyProtection="1">
      <alignment vertical="center" wrapText="1"/>
    </xf>
    <xf numFmtId="0" fontId="2" fillId="20" borderId="246" xfId="0" applyFont="1" applyFill="1" applyBorder="1" applyAlignment="1" applyProtection="1">
      <alignment wrapText="1"/>
    </xf>
    <xf numFmtId="0" fontId="9" fillId="20" borderId="246" xfId="0" applyFont="1" applyFill="1" applyBorder="1" applyAlignment="1" applyProtection="1">
      <alignment horizontal="left" wrapText="1"/>
    </xf>
    <xf numFmtId="3" fontId="3" fillId="20" borderId="306" xfId="0" applyNumberFormat="1" applyFont="1" applyFill="1" applyBorder="1" applyAlignment="1" applyProtection="1">
      <alignment horizontal="left"/>
    </xf>
    <xf numFmtId="0" fontId="0" fillId="20" borderId="246" xfId="0" applyFill="1" applyBorder="1"/>
    <xf numFmtId="3" fontId="39" fillId="20" borderId="246" xfId="0" applyNumberFormat="1" applyFont="1" applyFill="1" applyBorder="1" applyAlignment="1" applyProtection="1">
      <alignment horizontal="left"/>
    </xf>
    <xf numFmtId="3" fontId="3" fillId="20" borderId="290" xfId="0" applyNumberFormat="1" applyFont="1" applyFill="1" applyBorder="1" applyAlignment="1" applyProtection="1">
      <alignment horizontal="left"/>
    </xf>
    <xf numFmtId="3" fontId="3" fillId="20" borderId="246" xfId="0" applyNumberFormat="1" applyFont="1" applyFill="1" applyBorder="1" applyAlignment="1" applyProtection="1">
      <alignment horizontal="left"/>
    </xf>
    <xf numFmtId="0" fontId="116" fillId="20" borderId="246" xfId="0" applyFont="1" applyFill="1" applyBorder="1" applyAlignment="1">
      <alignment horizontal="left" vertical="top"/>
    </xf>
    <xf numFmtId="0" fontId="116" fillId="20" borderId="255" xfId="0" applyFont="1" applyFill="1" applyBorder="1" applyAlignment="1">
      <alignment horizontal="left" vertical="top"/>
    </xf>
    <xf numFmtId="0" fontId="93" fillId="7" borderId="0" xfId="0" applyFont="1" applyFill="1" applyAlignment="1" applyProtection="1">
      <alignment horizontal="left"/>
    </xf>
    <xf numFmtId="0" fontId="3" fillId="20" borderId="8" xfId="0" applyFont="1" applyFill="1" applyBorder="1" applyAlignment="1" applyProtection="1">
      <alignment horizontal="center"/>
    </xf>
    <xf numFmtId="0" fontId="3" fillId="20" borderId="155" xfId="0" applyFont="1" applyFill="1" applyBorder="1" applyAlignment="1" applyProtection="1">
      <alignment horizontal="center"/>
    </xf>
    <xf numFmtId="3" fontId="2" fillId="2" borderId="57" xfId="0" applyNumberFormat="1" applyFont="1" applyFill="1" applyBorder="1" applyProtection="1">
      <protection locked="0"/>
    </xf>
    <xf numFmtId="0" fontId="7" fillId="20" borderId="142" xfId="0" applyFont="1" applyFill="1" applyBorder="1" applyProtection="1"/>
    <xf numFmtId="0" fontId="5" fillId="20" borderId="142" xfId="0" applyFont="1" applyFill="1" applyBorder="1" applyAlignment="1" applyProtection="1">
      <alignment horizontal="left"/>
    </xf>
    <xf numFmtId="0" fontId="3" fillId="20" borderId="42" xfId="0" applyFont="1" applyFill="1" applyBorder="1" applyAlignment="1" applyProtection="1">
      <alignment horizontal="left"/>
    </xf>
    <xf numFmtId="0" fontId="8" fillId="20" borderId="42" xfId="0" applyFont="1" applyFill="1" applyBorder="1" applyProtection="1"/>
    <xf numFmtId="3" fontId="40" fillId="20" borderId="5" xfId="0" applyNumberFormat="1" applyFont="1" applyFill="1" applyBorder="1" applyAlignment="1" applyProtection="1">
      <alignment horizontal="right"/>
    </xf>
    <xf numFmtId="3" fontId="39" fillId="20" borderId="307" xfId="0" applyNumberFormat="1" applyFont="1" applyFill="1" applyBorder="1" applyAlignment="1" applyProtection="1">
      <alignment horizontal="right"/>
    </xf>
    <xf numFmtId="3" fontId="39" fillId="20" borderId="308" xfId="0" applyNumberFormat="1" applyFont="1" applyFill="1" applyBorder="1" applyAlignment="1" applyProtection="1">
      <alignment horizontal="left"/>
    </xf>
    <xf numFmtId="3" fontId="39" fillId="20" borderId="255" xfId="0" applyNumberFormat="1" applyFont="1" applyFill="1" applyBorder="1" applyAlignment="1" applyProtection="1">
      <alignment horizontal="right"/>
    </xf>
    <xf numFmtId="0" fontId="74" fillId="20" borderId="112" xfId="0" applyFont="1" applyFill="1" applyBorder="1" applyAlignment="1">
      <alignment wrapText="1"/>
    </xf>
    <xf numFmtId="0" fontId="74" fillId="20" borderId="67" xfId="0" applyFont="1" applyFill="1" applyBorder="1" applyAlignment="1">
      <alignment wrapText="1"/>
    </xf>
    <xf numFmtId="0" fontId="5" fillId="20" borderId="36" xfId="0" applyFont="1" applyFill="1" applyBorder="1" applyAlignment="1" applyProtection="1">
      <alignment horizontal="center" vertical="center"/>
    </xf>
    <xf numFmtId="0" fontId="0" fillId="20" borderId="121" xfId="0" applyFill="1" applyBorder="1" applyProtection="1"/>
    <xf numFmtId="0" fontId="3" fillId="20" borderId="125" xfId="0" applyFont="1" applyFill="1" applyBorder="1" applyAlignment="1" applyProtection="1">
      <alignment wrapText="1"/>
    </xf>
    <xf numFmtId="0" fontId="0" fillId="20" borderId="79" xfId="0" applyFill="1" applyBorder="1" applyAlignment="1">
      <alignment wrapText="1"/>
    </xf>
    <xf numFmtId="0" fontId="3" fillId="20" borderId="50" xfId="0" applyFont="1" applyFill="1" applyBorder="1" applyAlignment="1" applyProtection="1">
      <alignment wrapText="1"/>
    </xf>
    <xf numFmtId="0" fontId="22" fillId="20" borderId="52" xfId="0" applyFont="1" applyFill="1" applyBorder="1" applyAlignment="1">
      <alignment wrapText="1"/>
    </xf>
    <xf numFmtId="0" fontId="1" fillId="20" borderId="121" xfId="0" applyFont="1" applyFill="1" applyBorder="1" applyAlignment="1" applyProtection="1"/>
    <xf numFmtId="3" fontId="43" fillId="21" borderId="127" xfId="0" applyNumberFormat="1" applyFont="1" applyFill="1" applyBorder="1" applyAlignment="1" applyProtection="1"/>
    <xf numFmtId="3" fontId="43" fillId="21" borderId="21" xfId="0" applyNumberFormat="1" applyFont="1" applyFill="1" applyBorder="1" applyAlignment="1" applyProtection="1"/>
    <xf numFmtId="3" fontId="43" fillId="21" borderId="60" xfId="0" applyNumberFormat="1" applyFont="1" applyFill="1" applyBorder="1" applyAlignment="1" applyProtection="1"/>
    <xf numFmtId="3" fontId="43" fillId="21" borderId="18" xfId="0" applyNumberFormat="1" applyFont="1" applyFill="1" applyBorder="1" applyAlignment="1" applyProtection="1"/>
    <xf numFmtId="1" fontId="15" fillId="20" borderId="15" xfId="0" applyNumberFormat="1" applyFont="1" applyFill="1" applyBorder="1" applyAlignment="1" applyProtection="1">
      <alignment horizontal="left" vertical="top" wrapText="1"/>
    </xf>
    <xf numFmtId="0" fontId="49" fillId="20" borderId="42" xfId="0" applyFont="1" applyFill="1" applyBorder="1" applyAlignment="1">
      <alignment horizontal="left" vertical="top" wrapText="1"/>
    </xf>
    <xf numFmtId="0" fontId="5" fillId="20" borderId="121" xfId="0" applyFont="1" applyFill="1" applyBorder="1" applyAlignment="1" applyProtection="1"/>
    <xf numFmtId="3" fontId="5" fillId="20" borderId="36" xfId="0" applyNumberFormat="1" applyFont="1" applyFill="1" applyBorder="1" applyAlignment="1" applyProtection="1">
      <alignment horizontal="center" vertical="center"/>
    </xf>
    <xf numFmtId="0" fontId="7" fillId="20" borderId="121" xfId="0" applyFont="1" applyFill="1" applyBorder="1" applyAlignment="1" applyProtection="1"/>
    <xf numFmtId="0" fontId="3" fillId="20" borderId="182" xfId="0" applyFont="1" applyFill="1" applyBorder="1" applyAlignment="1" applyProtection="1">
      <alignment horizontal="left" wrapText="1"/>
    </xf>
    <xf numFmtId="0" fontId="0" fillId="20" borderId="183" xfId="0" applyFill="1" applyBorder="1" applyAlignment="1" applyProtection="1"/>
    <xf numFmtId="0" fontId="0" fillId="20" borderId="184" xfId="0" applyFill="1" applyBorder="1" applyAlignment="1" applyProtection="1"/>
    <xf numFmtId="1" fontId="5" fillId="0" borderId="0" xfId="0" applyNumberFormat="1" applyFont="1" applyFill="1" applyBorder="1" applyAlignment="1" applyProtection="1">
      <alignment horizontal="left" wrapText="1"/>
    </xf>
    <xf numFmtId="0" fontId="0" fillId="0" borderId="0" xfId="0" applyFill="1" applyBorder="1" applyAlignment="1">
      <alignment horizontal="left" wrapText="1"/>
    </xf>
    <xf numFmtId="1" fontId="3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vertical="top" wrapText="1"/>
    </xf>
    <xf numFmtId="1" fontId="2" fillId="20" borderId="15" xfId="0" applyNumberFormat="1" applyFont="1" applyFill="1" applyBorder="1" applyAlignment="1" applyProtection="1">
      <alignment horizontal="left" wrapText="1"/>
    </xf>
    <xf numFmtId="0" fontId="9" fillId="20" borderId="15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10" fillId="0" borderId="0" xfId="0" applyFont="1" applyFill="1" applyAlignment="1" applyProtection="1">
      <alignment vertical="top" wrapText="1"/>
    </xf>
    <xf numFmtId="0" fontId="110" fillId="0" borderId="0" xfId="0" applyFont="1" applyFill="1" applyBorder="1" applyAlignment="1">
      <alignment wrapText="1"/>
    </xf>
    <xf numFmtId="0" fontId="110" fillId="0" borderId="0" xfId="0" applyFont="1" applyFill="1" applyAlignment="1">
      <alignment vertical="top" wrapText="1"/>
    </xf>
    <xf numFmtId="0" fontId="133" fillId="0" borderId="0" xfId="0" applyFont="1" applyFill="1" applyBorder="1" applyAlignment="1">
      <alignment horizontal="left" wrapText="1"/>
    </xf>
    <xf numFmtId="0" fontId="133" fillId="0" borderId="57" xfId="0" applyFont="1" applyBorder="1" applyAlignment="1">
      <alignment horizontal="left" wrapText="1"/>
    </xf>
    <xf numFmtId="0" fontId="133" fillId="0" borderId="0" xfId="0" applyFont="1" applyAlignment="1">
      <alignment horizontal="left" wrapText="1"/>
    </xf>
    <xf numFmtId="0" fontId="133" fillId="0" borderId="0" xfId="0" applyFont="1" applyBorder="1" applyAlignment="1">
      <alignment horizontal="left" wrapText="1"/>
    </xf>
    <xf numFmtId="0" fontId="3" fillId="20" borderId="118" xfId="0" applyFont="1" applyFill="1" applyBorder="1" applyAlignment="1" applyProtection="1">
      <alignment horizontal="left" vertical="top" wrapText="1"/>
    </xf>
    <xf numFmtId="0" fontId="0" fillId="0" borderId="42" xfId="0" applyBorder="1"/>
    <xf numFmtId="49" fontId="18" fillId="0" borderId="0" xfId="0" applyNumberFormat="1" applyFont="1" applyFill="1" applyBorder="1" applyAlignment="1" applyProtection="1">
      <alignment horizontal="left" wrapText="1"/>
    </xf>
    <xf numFmtId="0" fontId="53" fillId="0" borderId="0" xfId="0" applyFont="1" applyAlignment="1">
      <alignment horizontal="left" wrapText="1"/>
    </xf>
    <xf numFmtId="0" fontId="0" fillId="0" borderId="0" xfId="0" applyAlignment="1"/>
    <xf numFmtId="0" fontId="53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136" fillId="37" borderId="0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3" fontId="3" fillId="0" borderId="58" xfId="0" applyNumberFormat="1" applyFont="1" applyFill="1" applyBorder="1" applyAlignment="1" applyProtection="1"/>
    <xf numFmtId="0" fontId="7" fillId="0" borderId="57" xfId="0" applyFont="1" applyFill="1" applyBorder="1" applyAlignment="1"/>
    <xf numFmtId="0" fontId="2" fillId="20" borderId="192" xfId="0" applyFont="1" applyFill="1" applyBorder="1" applyAlignment="1" applyProtection="1">
      <alignment horizontal="center" vertical="top"/>
    </xf>
    <xf numFmtId="0" fontId="9" fillId="20" borderId="48" xfId="0" applyFont="1" applyFill="1" applyBorder="1" applyAlignment="1" applyProtection="1">
      <alignment horizontal="center" vertical="top"/>
    </xf>
    <xf numFmtId="0" fontId="9" fillId="20" borderId="41" xfId="0" applyFont="1" applyFill="1" applyBorder="1" applyAlignment="1" applyProtection="1">
      <alignment horizontal="center" vertical="top"/>
    </xf>
    <xf numFmtId="0" fontId="5" fillId="20" borderId="199" xfId="0" applyFont="1" applyFill="1" applyBorder="1" applyAlignment="1" applyProtection="1">
      <alignment horizontal="center" vertical="center" wrapText="1"/>
    </xf>
    <xf numFmtId="0" fontId="5" fillId="20" borderId="164" xfId="0" applyFont="1" applyFill="1" applyBorder="1" applyAlignment="1" applyProtection="1">
      <alignment horizontal="center" vertical="center" wrapText="1"/>
    </xf>
    <xf numFmtId="0" fontId="5" fillId="20" borderId="222" xfId="0" applyFont="1" applyFill="1" applyBorder="1" applyAlignment="1" applyProtection="1">
      <alignment horizontal="center" vertical="center" wrapText="1"/>
    </xf>
    <xf numFmtId="3" fontId="3" fillId="20" borderId="75" xfId="0" applyNumberFormat="1" applyFont="1" applyFill="1" applyBorder="1" applyAlignment="1" applyProtection="1">
      <alignment horizontal="left" wrapText="1"/>
    </xf>
    <xf numFmtId="0" fontId="22" fillId="20" borderId="76" xfId="0" applyFont="1" applyFill="1" applyBorder="1" applyAlignment="1" applyProtection="1">
      <alignment horizontal="left" wrapText="1"/>
    </xf>
    <xf numFmtId="0" fontId="22" fillId="20" borderId="92" xfId="0" applyFont="1" applyFill="1" applyBorder="1" applyAlignment="1" applyProtection="1">
      <alignment horizontal="left" wrapText="1"/>
    </xf>
    <xf numFmtId="3" fontId="3" fillId="20" borderId="75" xfId="0" applyNumberFormat="1" applyFont="1" applyFill="1" applyBorder="1" applyAlignment="1" applyProtection="1">
      <alignment horizontal="left" vertical="top" wrapText="1"/>
    </xf>
    <xf numFmtId="0" fontId="22" fillId="20" borderId="76" xfId="0" applyFont="1" applyFill="1" applyBorder="1" applyAlignment="1" applyProtection="1">
      <alignment horizontal="left" vertical="top" wrapText="1"/>
    </xf>
    <xf numFmtId="0" fontId="22" fillId="20" borderId="92" xfId="0" applyFont="1" applyFill="1" applyBorder="1" applyAlignment="1" applyProtection="1">
      <alignment horizontal="left" vertical="top" wrapText="1"/>
    </xf>
    <xf numFmtId="3" fontId="3" fillId="20" borderId="75" xfId="0" applyNumberFormat="1" applyFont="1" applyFill="1" applyBorder="1" applyAlignment="1" applyProtection="1">
      <alignment vertical="center" wrapText="1"/>
    </xf>
    <xf numFmtId="0" fontId="0" fillId="20" borderId="76" xfId="0" applyFill="1" applyBorder="1" applyAlignment="1" applyProtection="1">
      <alignment vertical="center"/>
    </xf>
    <xf numFmtId="0" fontId="0" fillId="20" borderId="92" xfId="0" applyFill="1" applyBorder="1" applyAlignment="1" applyProtection="1">
      <alignment vertical="center"/>
    </xf>
    <xf numFmtId="3" fontId="3" fillId="20" borderId="158" xfId="0" applyNumberFormat="1" applyFont="1" applyFill="1" applyBorder="1" applyAlignment="1" applyProtection="1">
      <alignment horizontal="left" vertical="top" wrapText="1"/>
    </xf>
    <xf numFmtId="0" fontId="0" fillId="0" borderId="158" xfId="0" applyBorder="1" applyAlignment="1">
      <alignment horizontal="left" wrapText="1"/>
    </xf>
    <xf numFmtId="3" fontId="10" fillId="0" borderId="200" xfId="0" applyNumberFormat="1" applyFont="1" applyFill="1" applyBorder="1" applyAlignment="1" applyProtection="1">
      <alignment horizontal="left" vertical="top" wrapText="1"/>
      <protection locked="0"/>
    </xf>
    <xf numFmtId="0" fontId="2" fillId="0" borderId="223" xfId="0" applyFont="1" applyFill="1" applyBorder="1" applyAlignment="1" applyProtection="1">
      <alignment horizontal="left" vertical="top" wrapText="1"/>
      <protection locked="0"/>
    </xf>
    <xf numFmtId="0" fontId="2" fillId="0" borderId="245" xfId="0" applyFont="1" applyFill="1" applyBorder="1" applyAlignment="1" applyProtection="1">
      <alignment horizontal="left" vertical="top" wrapText="1"/>
      <protection locked="0"/>
    </xf>
    <xf numFmtId="0" fontId="2" fillId="0" borderId="200" xfId="0" applyFont="1" applyFill="1" applyBorder="1" applyAlignment="1" applyProtection="1">
      <alignment horizontal="left" vertical="top" wrapText="1"/>
      <protection locked="0"/>
    </xf>
    <xf numFmtId="3" fontId="3" fillId="20" borderId="204" xfId="0" applyNumberFormat="1" applyFont="1" applyFill="1" applyBorder="1" applyAlignment="1" applyProtection="1">
      <alignment vertical="center" wrapText="1"/>
    </xf>
    <xf numFmtId="3" fontId="3" fillId="20" borderId="194" xfId="0" applyNumberFormat="1" applyFont="1" applyFill="1" applyBorder="1" applyAlignment="1" applyProtection="1">
      <alignment vertical="center" wrapText="1"/>
    </xf>
    <xf numFmtId="0" fontId="3" fillId="20" borderId="12" xfId="0" applyFont="1" applyFill="1" applyBorder="1" applyAlignment="1" applyProtection="1">
      <alignment horizontal="left" vertical="top" wrapText="1"/>
    </xf>
    <xf numFmtId="0" fontId="0" fillId="0" borderId="92" xfId="0" applyBorder="1" applyAlignment="1"/>
    <xf numFmtId="3" fontId="3" fillId="20" borderId="75" xfId="0" applyNumberFormat="1" applyFont="1" applyFill="1" applyBorder="1" applyAlignment="1" applyProtection="1">
      <alignment wrapText="1"/>
    </xf>
    <xf numFmtId="0" fontId="0" fillId="20" borderId="76" xfId="0" applyFill="1" applyBorder="1" applyAlignment="1">
      <alignment wrapText="1"/>
    </xf>
    <xf numFmtId="0" fontId="0" fillId="20" borderId="92" xfId="0" applyFill="1" applyBorder="1" applyAlignment="1">
      <alignment wrapText="1"/>
    </xf>
    <xf numFmtId="3" fontId="3" fillId="20" borderId="160" xfId="5" applyNumberFormat="1" applyFont="1" applyFill="1" applyBorder="1" applyAlignment="1" applyProtection="1">
      <alignment horizontal="left" vertical="top" wrapText="1"/>
    </xf>
    <xf numFmtId="0" fontId="22" fillId="20" borderId="160" xfId="5" applyFill="1" applyBorder="1" applyAlignment="1">
      <alignment horizontal="left" wrapText="1"/>
    </xf>
    <xf numFmtId="3" fontId="3" fillId="20" borderId="227" xfId="0" applyNumberFormat="1" applyFont="1" applyFill="1" applyBorder="1" applyAlignment="1" applyProtection="1">
      <alignment horizontal="left" vertical="top" wrapText="1"/>
    </xf>
    <xf numFmtId="0" fontId="0" fillId="0" borderId="44" xfId="0" applyBorder="1" applyAlignment="1">
      <alignment horizontal="left" wrapText="1"/>
    </xf>
    <xf numFmtId="3" fontId="3" fillId="20" borderId="258" xfId="0" applyNumberFormat="1" applyFont="1" applyFill="1" applyBorder="1" applyAlignment="1" applyProtection="1">
      <alignment horizontal="left" vertical="top" wrapText="1"/>
    </xf>
    <xf numFmtId="0" fontId="0" fillId="0" borderId="259" xfId="0" applyBorder="1" applyAlignment="1">
      <alignment horizontal="left" wrapText="1"/>
    </xf>
    <xf numFmtId="0" fontId="2" fillId="20" borderId="49" xfId="0" applyFont="1" applyFill="1" applyBorder="1" applyAlignment="1" applyProtection="1">
      <alignment horizontal="center" vertical="top"/>
    </xf>
    <xf numFmtId="0" fontId="2" fillId="20" borderId="165" xfId="0" applyFont="1" applyFill="1" applyBorder="1" applyAlignment="1" applyProtection="1">
      <alignment horizontal="center" vertical="top"/>
    </xf>
    <xf numFmtId="3" fontId="2" fillId="20" borderId="49" xfId="0" applyNumberFormat="1" applyFont="1" applyFill="1" applyBorder="1" applyAlignment="1" applyProtection="1">
      <alignment horizontal="center" vertical="top"/>
    </xf>
    <xf numFmtId="3" fontId="2" fillId="20" borderId="48" xfId="0" applyNumberFormat="1" applyFont="1" applyFill="1" applyBorder="1" applyAlignment="1" applyProtection="1">
      <alignment horizontal="center" vertical="top"/>
    </xf>
    <xf numFmtId="3" fontId="2" fillId="20" borderId="165" xfId="0" applyNumberFormat="1" applyFont="1" applyFill="1" applyBorder="1" applyAlignment="1" applyProtection="1">
      <alignment horizontal="center" vertical="top"/>
    </xf>
    <xf numFmtId="0" fontId="2" fillId="20" borderId="48" xfId="0" applyFont="1" applyFill="1" applyBorder="1" applyAlignment="1" applyProtection="1">
      <alignment horizontal="center" vertical="top"/>
    </xf>
    <xf numFmtId="3" fontId="2" fillId="20" borderId="49" xfId="0" applyNumberFormat="1" applyFont="1" applyFill="1" applyBorder="1" applyAlignment="1" applyProtection="1">
      <alignment horizontal="left" vertical="top" wrapText="1"/>
    </xf>
    <xf numFmtId="0" fontId="9" fillId="20" borderId="41" xfId="0" applyFont="1" applyFill="1" applyBorder="1" applyAlignment="1" applyProtection="1">
      <alignment vertical="top" wrapText="1"/>
    </xf>
    <xf numFmtId="0" fontId="3" fillId="2" borderId="199" xfId="0" applyFont="1" applyFill="1" applyBorder="1" applyAlignment="1" applyProtection="1">
      <alignment horizontal="right"/>
    </xf>
    <xf numFmtId="0" fontId="0" fillId="0" borderId="164" xfId="0" applyBorder="1" applyAlignment="1">
      <alignment horizontal="right"/>
    </xf>
    <xf numFmtId="0" fontId="0" fillId="0" borderId="102" xfId="0" applyBorder="1" applyAlignment="1">
      <alignment horizontal="right"/>
    </xf>
    <xf numFmtId="0" fontId="126" fillId="20" borderId="27" xfId="0" applyFont="1" applyFill="1" applyBorder="1" applyAlignment="1" applyProtection="1">
      <alignment wrapText="1"/>
    </xf>
    <xf numFmtId="0" fontId="0" fillId="20" borderId="27" xfId="0" applyFill="1" applyBorder="1" applyAlignment="1">
      <alignment wrapText="1"/>
    </xf>
    <xf numFmtId="0" fontId="3" fillId="20" borderId="0" xfId="0" applyFont="1" applyFill="1" applyBorder="1" applyAlignment="1" applyProtection="1">
      <alignment wrapText="1"/>
    </xf>
    <xf numFmtId="0" fontId="22" fillId="20" borderId="0" xfId="0" applyFont="1" applyFill="1" applyAlignment="1">
      <alignment wrapText="1"/>
    </xf>
    <xf numFmtId="0" fontId="3" fillId="20" borderId="27" xfId="0" applyFont="1" applyFill="1" applyBorder="1" applyAlignment="1" applyProtection="1">
      <alignment wrapText="1"/>
    </xf>
    <xf numFmtId="0" fontId="3" fillId="20" borderId="27" xfId="0" applyFont="1" applyFill="1" applyBorder="1" applyAlignment="1" applyProtection="1">
      <alignment horizontal="left" vertical="top" wrapText="1"/>
    </xf>
    <xf numFmtId="0" fontId="0" fillId="20" borderId="27" xfId="0" applyFill="1" applyBorder="1" applyAlignment="1">
      <alignment horizontal="left" vertical="top" wrapText="1"/>
    </xf>
    <xf numFmtId="0" fontId="0" fillId="20" borderId="0" xfId="0" applyFill="1" applyAlignment="1">
      <alignment wrapText="1"/>
    </xf>
    <xf numFmtId="0" fontId="126" fillId="20" borderId="0" xfId="0" applyFont="1" applyFill="1" applyBorder="1" applyAlignment="1" applyProtection="1">
      <alignment wrapText="1"/>
    </xf>
    <xf numFmtId="0" fontId="0" fillId="20" borderId="39" xfId="0" applyFill="1" applyBorder="1" applyAlignment="1">
      <alignment wrapText="1"/>
    </xf>
    <xf numFmtId="0" fontId="54" fillId="0" borderId="0" xfId="0" applyFont="1" applyFill="1" applyBorder="1" applyAlignment="1" applyProtection="1">
      <alignment horizontal="left" wrapText="1"/>
    </xf>
    <xf numFmtId="0" fontId="5" fillId="20" borderId="279" xfId="0" applyFont="1" applyFill="1" applyBorder="1" applyAlignment="1" applyProtection="1">
      <alignment vertical="top" wrapText="1"/>
    </xf>
    <xf numFmtId="0" fontId="49" fillId="20" borderId="280" xfId="0" applyFont="1" applyFill="1" applyBorder="1" applyAlignment="1" applyProtection="1">
      <alignment vertical="top" wrapText="1"/>
    </xf>
    <xf numFmtId="0" fontId="5" fillId="20" borderId="268" xfId="0" applyFont="1" applyFill="1" applyBorder="1" applyAlignment="1" applyProtection="1">
      <alignment vertical="top" wrapText="1"/>
    </xf>
    <xf numFmtId="0" fontId="5" fillId="20" borderId="269" xfId="0" applyFont="1" applyFill="1" applyBorder="1" applyAlignment="1" applyProtection="1">
      <alignment vertical="top" wrapText="1"/>
    </xf>
    <xf numFmtId="0" fontId="5" fillId="20" borderId="270" xfId="0" applyFont="1" applyFill="1" applyBorder="1" applyAlignment="1" applyProtection="1">
      <alignment vertical="top" wrapText="1"/>
    </xf>
    <xf numFmtId="0" fontId="3" fillId="20" borderId="15" xfId="0" applyFont="1" applyFill="1" applyBorder="1" applyAlignment="1" applyProtection="1">
      <alignment vertical="top" wrapText="1"/>
    </xf>
    <xf numFmtId="0" fontId="0" fillId="20" borderId="15" xfId="0" applyFill="1" applyBorder="1" applyAlignment="1" applyProtection="1">
      <alignment vertical="top" wrapText="1"/>
    </xf>
    <xf numFmtId="0" fontId="0" fillId="20" borderId="42" xfId="0" applyFill="1" applyBorder="1" applyAlignment="1" applyProtection="1">
      <alignment vertical="top" wrapText="1"/>
    </xf>
    <xf numFmtId="0" fontId="3" fillId="20" borderId="60" xfId="0" applyFont="1" applyFill="1" applyBorder="1" applyAlignment="1" applyProtection="1">
      <alignment vertical="top" wrapText="1"/>
    </xf>
    <xf numFmtId="0" fontId="0" fillId="20" borderId="60" xfId="0" applyFill="1" applyBorder="1" applyAlignment="1" applyProtection="1">
      <alignment vertical="top" wrapText="1"/>
    </xf>
    <xf numFmtId="0" fontId="0" fillId="20" borderId="90" xfId="0" applyFill="1" applyBorder="1" applyAlignment="1" applyProtection="1">
      <alignment vertical="top" wrapText="1"/>
    </xf>
    <xf numFmtId="0" fontId="5" fillId="20" borderId="190" xfId="0" applyFont="1" applyFill="1" applyBorder="1" applyAlignment="1" applyProtection="1">
      <alignment horizontal="left" vertical="top" wrapText="1"/>
    </xf>
    <xf numFmtId="0" fontId="0" fillId="20" borderId="124" xfId="0" applyFill="1" applyBorder="1" applyAlignment="1">
      <alignment vertical="top"/>
    </xf>
    <xf numFmtId="0" fontId="0" fillId="20" borderId="111" xfId="0" applyFill="1" applyBorder="1" applyAlignment="1">
      <alignment vertical="top"/>
    </xf>
    <xf numFmtId="0" fontId="0" fillId="20" borderId="1" xfId="0" applyFill="1" applyBorder="1" applyAlignment="1">
      <alignment vertical="top"/>
    </xf>
    <xf numFmtId="0" fontId="0" fillId="20" borderId="229" xfId="0" applyFill="1" applyBorder="1" applyAlignment="1">
      <alignment vertical="top"/>
    </xf>
    <xf numFmtId="0" fontId="3" fillId="20" borderId="243" xfId="5" applyFont="1" applyFill="1" applyBorder="1" applyAlignment="1" applyProtection="1">
      <alignment wrapText="1"/>
    </xf>
    <xf numFmtId="0" fontId="0" fillId="0" borderId="244" xfId="0" applyBorder="1" applyAlignment="1">
      <alignment wrapText="1"/>
    </xf>
    <xf numFmtId="3" fontId="3" fillId="20" borderId="286" xfId="5" applyNumberFormat="1" applyFont="1" applyFill="1" applyBorder="1" applyAlignment="1" applyProtection="1">
      <alignment vertical="top" wrapText="1"/>
    </xf>
    <xf numFmtId="0" fontId="22" fillId="20" borderId="246" xfId="5" applyFill="1" applyBorder="1" applyAlignment="1" applyProtection="1"/>
    <xf numFmtId="0" fontId="22" fillId="20" borderId="286" xfId="5" applyFill="1" applyBorder="1" applyAlignment="1" applyProtection="1"/>
    <xf numFmtId="0" fontId="129" fillId="20" borderId="246" xfId="0" applyFont="1" applyFill="1" applyBorder="1" applyAlignment="1">
      <alignment vertical="top" wrapText="1"/>
    </xf>
    <xf numFmtId="0" fontId="0" fillId="20" borderId="246" xfId="0" applyFill="1" applyBorder="1" applyAlignment="1">
      <alignment vertical="top" wrapText="1"/>
    </xf>
    <xf numFmtId="0" fontId="131" fillId="20" borderId="246" xfId="0" applyFont="1" applyFill="1" applyBorder="1" applyAlignment="1">
      <alignment wrapText="1"/>
    </xf>
    <xf numFmtId="0" fontId="132" fillId="0" borderId="246" xfId="0" applyFont="1" applyBorder="1" applyAlignment="1">
      <alignment wrapText="1"/>
    </xf>
    <xf numFmtId="0" fontId="130" fillId="20" borderId="254" xfId="0" applyFont="1" applyFill="1" applyBorder="1" applyAlignment="1">
      <alignment horizontal="left" vertical="top" wrapText="1"/>
    </xf>
    <xf numFmtId="0" fontId="0" fillId="20" borderId="246" xfId="0" applyFill="1" applyBorder="1" applyAlignment="1">
      <alignment horizontal="left" vertical="top" wrapText="1"/>
    </xf>
    <xf numFmtId="0" fontId="0" fillId="20" borderId="255" xfId="0" applyFill="1" applyBorder="1" applyAlignment="1">
      <alignment horizontal="left" vertical="top" wrapText="1"/>
    </xf>
    <xf numFmtId="0" fontId="49" fillId="20" borderId="36" xfId="5" applyFont="1" applyFill="1" applyBorder="1" applyAlignment="1" applyProtection="1">
      <alignment vertical="center" wrapText="1"/>
    </xf>
    <xf numFmtId="0" fontId="0" fillId="0" borderId="96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44" xfId="0" applyBorder="1" applyAlignment="1">
      <alignment wrapText="1"/>
    </xf>
    <xf numFmtId="0" fontId="3" fillId="20" borderId="118" xfId="5" applyFont="1" applyFill="1" applyBorder="1" applyAlignment="1" applyProtection="1">
      <alignment vertical="top" wrapText="1"/>
    </xf>
    <xf numFmtId="0" fontId="0" fillId="0" borderId="2" xfId="0" applyBorder="1" applyAlignment="1">
      <alignment vertical="top" wrapText="1"/>
    </xf>
    <xf numFmtId="3" fontId="3" fillId="20" borderId="16" xfId="5" applyNumberFormat="1" applyFont="1" applyFill="1" applyBorder="1" applyAlignment="1" applyProtection="1">
      <alignment vertical="top" wrapText="1"/>
    </xf>
    <xf numFmtId="0" fontId="0" fillId="20" borderId="16" xfId="0" applyFill="1" applyBorder="1" applyAlignment="1">
      <alignment wrapText="1"/>
    </xf>
    <xf numFmtId="3" fontId="3" fillId="35" borderId="15" xfId="5" applyNumberFormat="1" applyFont="1" applyFill="1" applyBorder="1" applyAlignment="1" applyProtection="1">
      <alignment vertical="top" wrapText="1"/>
    </xf>
    <xf numFmtId="0" fontId="0" fillId="35" borderId="15" xfId="0" applyFill="1" applyBorder="1" applyAlignment="1">
      <alignment vertical="top" wrapText="1"/>
    </xf>
    <xf numFmtId="3" fontId="3" fillId="20" borderId="15" xfId="5" applyNumberFormat="1" applyFont="1" applyFill="1" applyBorder="1" applyAlignment="1" applyProtection="1">
      <alignment vertical="top" wrapText="1"/>
    </xf>
    <xf numFmtId="0" fontId="0" fillId="20" borderId="15" xfId="0" applyFill="1" applyBorder="1" applyAlignment="1">
      <alignment wrapText="1"/>
    </xf>
    <xf numFmtId="0" fontId="3" fillId="20" borderId="15" xfId="5" applyFont="1" applyFill="1" applyBorder="1" applyAlignment="1" applyProtection="1">
      <alignment vertical="top" wrapText="1"/>
    </xf>
    <xf numFmtId="0" fontId="0" fillId="20" borderId="15" xfId="0" applyFill="1" applyBorder="1" applyAlignment="1">
      <alignment vertical="top" wrapText="1"/>
    </xf>
    <xf numFmtId="0" fontId="0" fillId="20" borderId="42" xfId="0" applyFill="1" applyBorder="1" applyAlignment="1">
      <alignment vertical="top" wrapText="1"/>
    </xf>
    <xf numFmtId="3" fontId="3" fillId="20" borderId="159" xfId="5" applyNumberFormat="1" applyFont="1" applyFill="1" applyBorder="1" applyAlignment="1" applyProtection="1">
      <alignment vertical="center" wrapText="1"/>
    </xf>
    <xf numFmtId="0" fontId="0" fillId="20" borderId="159" xfId="0" applyFill="1" applyBorder="1" applyAlignment="1">
      <alignment vertical="center" wrapText="1"/>
    </xf>
    <xf numFmtId="3" fontId="3" fillId="20" borderId="168" xfId="5" applyNumberFormat="1" applyFont="1" applyFill="1" applyBorder="1" applyAlignment="1" applyProtection="1">
      <alignment wrapText="1"/>
    </xf>
    <xf numFmtId="0" fontId="0" fillId="20" borderId="3" xfId="0" applyFill="1" applyBorder="1" applyAlignment="1">
      <alignment wrapText="1"/>
    </xf>
    <xf numFmtId="0" fontId="0" fillId="20" borderId="159" xfId="0" applyFill="1" applyBorder="1" applyAlignment="1">
      <alignment vertical="center"/>
    </xf>
    <xf numFmtId="3" fontId="3" fillId="20" borderId="159" xfId="5" applyNumberFormat="1" applyFont="1" applyFill="1" applyBorder="1" applyAlignment="1" applyProtection="1">
      <alignment vertical="top" wrapText="1"/>
    </xf>
    <xf numFmtId="0" fontId="22" fillId="20" borderId="159" xfId="0" applyFont="1" applyFill="1" applyBorder="1" applyAlignment="1">
      <alignment vertical="top" wrapText="1"/>
    </xf>
    <xf numFmtId="3" fontId="3" fillId="20" borderId="159" xfId="0" applyNumberFormat="1" applyFont="1" applyFill="1" applyBorder="1" applyAlignment="1" applyProtection="1">
      <alignment vertical="top" wrapText="1"/>
    </xf>
    <xf numFmtId="0" fontId="22" fillId="20" borderId="176" xfId="0" applyFont="1" applyFill="1" applyBorder="1" applyAlignment="1">
      <alignment vertical="top" wrapText="1"/>
    </xf>
    <xf numFmtId="3" fontId="3" fillId="20" borderId="159" xfId="0" applyNumberFormat="1" applyFont="1" applyFill="1" applyBorder="1" applyAlignment="1" applyProtection="1">
      <alignment wrapText="1"/>
    </xf>
    <xf numFmtId="0" fontId="0" fillId="20" borderId="159" xfId="0" applyFill="1" applyBorder="1" applyAlignment="1">
      <alignment wrapText="1"/>
    </xf>
    <xf numFmtId="0" fontId="3" fillId="20" borderId="159" xfId="0" applyFont="1" applyFill="1" applyBorder="1" applyAlignment="1" applyProtection="1">
      <alignment vertical="top" wrapText="1"/>
    </xf>
    <xf numFmtId="0" fontId="0" fillId="0" borderId="159" xfId="0" applyBorder="1" applyAlignment="1">
      <alignment vertical="top" wrapText="1"/>
    </xf>
    <xf numFmtId="3" fontId="3" fillId="20" borderId="108" xfId="0" applyNumberFormat="1" applyFont="1" applyFill="1" applyBorder="1" applyAlignment="1" applyProtection="1">
      <alignment vertical="top" wrapText="1"/>
    </xf>
    <xf numFmtId="0" fontId="3" fillId="20" borderId="243" xfId="0" applyFont="1" applyFill="1" applyBorder="1" applyAlignment="1" applyProtection="1">
      <alignment vertical="top" wrapText="1"/>
    </xf>
    <xf numFmtId="0" fontId="0" fillId="0" borderId="244" xfId="0" applyBorder="1" applyAlignment="1">
      <alignment vertical="top" wrapText="1"/>
    </xf>
  </cellXfs>
  <cellStyles count="16">
    <cellStyle name="Anteckning 2" xfId="1" xr:uid="{00000000-0005-0000-0000-000000000000}"/>
    <cellStyle name="Anteckning 2 2" xfId="2" xr:uid="{00000000-0005-0000-0000-000001000000}"/>
    <cellStyle name="Dålig 2" xfId="3" xr:uid="{00000000-0005-0000-0000-000002000000}"/>
    <cellStyle name="Följde hyperlänken" xfId="4" xr:uid="{00000000-0005-0000-0000-000003000000}"/>
    <cellStyle name="Normal" xfId="0" builtinId="0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Normal 4 2" xfId="8" xr:uid="{00000000-0005-0000-0000-000009000000}"/>
    <cellStyle name="Normal_Kontrollblad" xfId="9" xr:uid="{00000000-0005-0000-0000-00000A000000}"/>
    <cellStyle name="Normal_skolkostn" xfId="10" xr:uid="{00000000-0005-0000-0000-00000C000000}"/>
    <cellStyle name="Normal_skolkostn 2" xfId="11" xr:uid="{00000000-0005-0000-0000-00000D000000}"/>
    <cellStyle name="Procent" xfId="12" builtinId="5"/>
    <cellStyle name="Procent 2" xfId="13" xr:uid="{00000000-0005-0000-0000-00000F000000}"/>
    <cellStyle name="Tusental (0)_Kommunägda företag" xfId="14" xr:uid="{00000000-0005-0000-0000-000010000000}"/>
    <cellStyle name="Valuta (0)_Kommunägda företag" xfId="15" xr:uid="{00000000-0005-0000-0000-000011000000}"/>
  </cellStyles>
  <dxfs count="167"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color rgb="FFFF000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 patternType="solid"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83820</xdr:colOff>
      <xdr:row>28</xdr:row>
      <xdr:rowOff>11430</xdr:rowOff>
    </xdr:from>
    <xdr:ext cx="184731" cy="26240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17845" y="5097780"/>
          <a:ext cx="184731" cy="26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v-SE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76200</xdr:rowOff>
    </xdr:from>
    <xdr:to>
      <xdr:col>6</xdr:col>
      <xdr:colOff>28575</xdr:colOff>
      <xdr:row>12</xdr:row>
      <xdr:rowOff>76200</xdr:rowOff>
    </xdr:to>
    <xdr:cxnSp macro="">
      <xdr:nvCxnSpPr>
        <xdr:cNvPr id="186129" name="AutoShape 242">
          <a:extLst>
            <a:ext uri="{FF2B5EF4-FFF2-40B4-BE49-F238E27FC236}">
              <a16:creationId xmlns:a16="http://schemas.microsoft.com/office/drawing/2014/main" id="{00000000-0008-0000-0200-000011D70200}"/>
            </a:ext>
          </a:extLst>
        </xdr:cNvPr>
        <xdr:cNvCxnSpPr>
          <a:cxnSpLocks noChangeShapeType="1"/>
        </xdr:cNvCxnSpPr>
      </xdr:nvCxnSpPr>
      <xdr:spPr bwMode="auto">
        <a:xfrm>
          <a:off x="4086225" y="2428875"/>
          <a:ext cx="19431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14</xdr:row>
      <xdr:rowOff>95250</xdr:rowOff>
    </xdr:from>
    <xdr:to>
      <xdr:col>6</xdr:col>
      <xdr:colOff>0</xdr:colOff>
      <xdr:row>14</xdr:row>
      <xdr:rowOff>95250</xdr:rowOff>
    </xdr:to>
    <xdr:cxnSp macro="">
      <xdr:nvCxnSpPr>
        <xdr:cNvPr id="186130" name="AutoShape 243">
          <a:extLst>
            <a:ext uri="{FF2B5EF4-FFF2-40B4-BE49-F238E27FC236}">
              <a16:creationId xmlns:a16="http://schemas.microsoft.com/office/drawing/2014/main" id="{00000000-0008-0000-0200-000012D70200}"/>
            </a:ext>
          </a:extLst>
        </xdr:cNvPr>
        <xdr:cNvCxnSpPr>
          <a:cxnSpLocks noChangeShapeType="1"/>
        </xdr:cNvCxnSpPr>
      </xdr:nvCxnSpPr>
      <xdr:spPr bwMode="auto">
        <a:xfrm>
          <a:off x="4095750" y="2809875"/>
          <a:ext cx="19050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21</xdr:row>
      <xdr:rowOff>123825</xdr:rowOff>
    </xdr:from>
    <xdr:to>
      <xdr:col>6</xdr:col>
      <xdr:colOff>9525</xdr:colOff>
      <xdr:row>21</xdr:row>
      <xdr:rowOff>123825</xdr:rowOff>
    </xdr:to>
    <xdr:cxnSp macro="">
      <xdr:nvCxnSpPr>
        <xdr:cNvPr id="186131" name="AutoShape 244">
          <a:extLst>
            <a:ext uri="{FF2B5EF4-FFF2-40B4-BE49-F238E27FC236}">
              <a16:creationId xmlns:a16="http://schemas.microsoft.com/office/drawing/2014/main" id="{00000000-0008-0000-0200-000013D70200}"/>
            </a:ext>
          </a:extLst>
        </xdr:cNvPr>
        <xdr:cNvCxnSpPr>
          <a:cxnSpLocks noChangeShapeType="1"/>
        </xdr:cNvCxnSpPr>
      </xdr:nvCxnSpPr>
      <xdr:spPr bwMode="auto">
        <a:xfrm flipV="1">
          <a:off x="4095750" y="4105275"/>
          <a:ext cx="19145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717550</xdr:colOff>
      <xdr:row>47</xdr:row>
      <xdr:rowOff>28576</xdr:rowOff>
    </xdr:from>
    <xdr:to>
      <xdr:col>8</xdr:col>
      <xdr:colOff>69850</xdr:colOff>
      <xdr:row>47</xdr:row>
      <xdr:rowOff>31750</xdr:rowOff>
    </xdr:to>
    <xdr:cxnSp macro="">
      <xdr:nvCxnSpPr>
        <xdr:cNvPr id="186132" name="AutoShape 245">
          <a:extLst>
            <a:ext uri="{FF2B5EF4-FFF2-40B4-BE49-F238E27FC236}">
              <a16:creationId xmlns:a16="http://schemas.microsoft.com/office/drawing/2014/main" id="{00000000-0008-0000-0200-000014D70200}"/>
            </a:ext>
          </a:extLst>
        </xdr:cNvPr>
        <xdr:cNvCxnSpPr>
          <a:cxnSpLocks noChangeShapeType="1"/>
        </xdr:cNvCxnSpPr>
      </xdr:nvCxnSpPr>
      <xdr:spPr bwMode="auto">
        <a:xfrm>
          <a:off x="4203700" y="8899526"/>
          <a:ext cx="3117850" cy="3174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57</xdr:row>
      <xdr:rowOff>104775</xdr:rowOff>
    </xdr:from>
    <xdr:to>
      <xdr:col>6</xdr:col>
      <xdr:colOff>0</xdr:colOff>
      <xdr:row>57</xdr:row>
      <xdr:rowOff>114300</xdr:rowOff>
    </xdr:to>
    <xdr:cxnSp macro="">
      <xdr:nvCxnSpPr>
        <xdr:cNvPr id="186133" name="AutoShape 246">
          <a:extLst>
            <a:ext uri="{FF2B5EF4-FFF2-40B4-BE49-F238E27FC236}">
              <a16:creationId xmlns:a16="http://schemas.microsoft.com/office/drawing/2014/main" id="{00000000-0008-0000-0200-000015D70200}"/>
            </a:ext>
          </a:extLst>
        </xdr:cNvPr>
        <xdr:cNvCxnSpPr>
          <a:cxnSpLocks noChangeShapeType="1"/>
        </xdr:cNvCxnSpPr>
      </xdr:nvCxnSpPr>
      <xdr:spPr bwMode="auto">
        <a:xfrm>
          <a:off x="4095750" y="10420350"/>
          <a:ext cx="1905000" cy="952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53</xdr:row>
      <xdr:rowOff>114300</xdr:rowOff>
    </xdr:from>
    <xdr:to>
      <xdr:col>5</xdr:col>
      <xdr:colOff>1568450</xdr:colOff>
      <xdr:row>54</xdr:row>
      <xdr:rowOff>85725</xdr:rowOff>
    </xdr:to>
    <xdr:cxnSp macro="">
      <xdr:nvCxnSpPr>
        <xdr:cNvPr id="186135" name="AutoShape 250">
          <a:extLst>
            <a:ext uri="{FF2B5EF4-FFF2-40B4-BE49-F238E27FC236}">
              <a16:creationId xmlns:a16="http://schemas.microsoft.com/office/drawing/2014/main" id="{00000000-0008-0000-0200-000017D70200}"/>
            </a:ext>
          </a:extLst>
        </xdr:cNvPr>
        <xdr:cNvCxnSpPr>
          <a:cxnSpLocks noChangeShapeType="1"/>
        </xdr:cNvCxnSpPr>
      </xdr:nvCxnSpPr>
      <xdr:spPr bwMode="auto">
        <a:xfrm flipV="1">
          <a:off x="4902200" y="10090150"/>
          <a:ext cx="1568450" cy="155575"/>
        </a:xfrm>
        <a:prstGeom prst="bentConnector3">
          <a:avLst>
            <a:gd name="adj1" fmla="val 54048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62</xdr:row>
      <xdr:rowOff>47625</xdr:rowOff>
    </xdr:from>
    <xdr:to>
      <xdr:col>5</xdr:col>
      <xdr:colOff>971550</xdr:colOff>
      <xdr:row>62</xdr:row>
      <xdr:rowOff>57150</xdr:rowOff>
    </xdr:to>
    <xdr:cxnSp macro="">
      <xdr:nvCxnSpPr>
        <xdr:cNvPr id="186136" name="AutoShape 245">
          <a:extLst>
            <a:ext uri="{FF2B5EF4-FFF2-40B4-BE49-F238E27FC236}">
              <a16:creationId xmlns:a16="http://schemas.microsoft.com/office/drawing/2014/main" id="{00000000-0008-0000-0200-000018D70200}"/>
            </a:ext>
          </a:extLst>
        </xdr:cNvPr>
        <xdr:cNvCxnSpPr>
          <a:cxnSpLocks noChangeShapeType="1"/>
        </xdr:cNvCxnSpPr>
      </xdr:nvCxnSpPr>
      <xdr:spPr bwMode="auto">
        <a:xfrm>
          <a:off x="4210050" y="11782425"/>
          <a:ext cx="1663700" cy="952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57150</xdr:rowOff>
    </xdr:from>
    <xdr:to>
      <xdr:col>3</xdr:col>
      <xdr:colOff>352425</xdr:colOff>
      <xdr:row>20</xdr:row>
      <xdr:rowOff>9525</xdr:rowOff>
    </xdr:to>
    <xdr:cxnSp macro="">
      <xdr:nvCxnSpPr>
        <xdr:cNvPr id="186137" name="AutoShape 245">
          <a:extLst>
            <a:ext uri="{FF2B5EF4-FFF2-40B4-BE49-F238E27FC236}">
              <a16:creationId xmlns:a16="http://schemas.microsoft.com/office/drawing/2014/main" id="{00000000-0008-0000-0200-000019D702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733800" y="3676650"/>
          <a:ext cx="0" cy="13335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66675</xdr:rowOff>
    </xdr:from>
    <xdr:to>
      <xdr:col>6</xdr:col>
      <xdr:colOff>0</xdr:colOff>
      <xdr:row>19</xdr:row>
      <xdr:rowOff>66675</xdr:rowOff>
    </xdr:to>
    <xdr:cxnSp macro="">
      <xdr:nvCxnSpPr>
        <xdr:cNvPr id="186138" name="AutoShape 244">
          <a:extLst>
            <a:ext uri="{FF2B5EF4-FFF2-40B4-BE49-F238E27FC236}">
              <a16:creationId xmlns:a16="http://schemas.microsoft.com/office/drawing/2014/main" id="{00000000-0008-0000-0200-00001AD70200}"/>
            </a:ext>
          </a:extLst>
        </xdr:cNvPr>
        <xdr:cNvCxnSpPr>
          <a:cxnSpLocks noChangeShapeType="1"/>
        </xdr:cNvCxnSpPr>
      </xdr:nvCxnSpPr>
      <xdr:spPr bwMode="auto">
        <a:xfrm flipV="1">
          <a:off x="3733800" y="3686175"/>
          <a:ext cx="226695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885825</xdr:colOff>
      <xdr:row>55</xdr:row>
      <xdr:rowOff>76200</xdr:rowOff>
    </xdr:from>
    <xdr:to>
      <xdr:col>6</xdr:col>
      <xdr:colOff>9525</xdr:colOff>
      <xdr:row>56</xdr:row>
      <xdr:rowOff>104775</xdr:rowOff>
    </xdr:to>
    <xdr:cxnSp macro="">
      <xdr:nvCxnSpPr>
        <xdr:cNvPr id="186140" name="AutoShape 250">
          <a:extLst>
            <a:ext uri="{FF2B5EF4-FFF2-40B4-BE49-F238E27FC236}">
              <a16:creationId xmlns:a16="http://schemas.microsoft.com/office/drawing/2014/main" id="{00000000-0008-0000-0200-00001CD70200}"/>
            </a:ext>
          </a:extLst>
        </xdr:cNvPr>
        <xdr:cNvCxnSpPr>
          <a:cxnSpLocks noChangeShapeType="1"/>
        </xdr:cNvCxnSpPr>
      </xdr:nvCxnSpPr>
      <xdr:spPr bwMode="auto">
        <a:xfrm flipV="1">
          <a:off x="5648325" y="10029825"/>
          <a:ext cx="361950" cy="209550"/>
        </a:xfrm>
        <a:prstGeom prst="bentConnector3">
          <a:avLst>
            <a:gd name="adj1" fmla="val -5179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</xdr:colOff>
      <xdr:row>56</xdr:row>
      <xdr:rowOff>104776</xdr:rowOff>
    </xdr:from>
    <xdr:to>
      <xdr:col>5</xdr:col>
      <xdr:colOff>1568450</xdr:colOff>
      <xdr:row>56</xdr:row>
      <xdr:rowOff>120650</xdr:rowOff>
    </xdr:to>
    <xdr:cxnSp macro="">
      <xdr:nvCxnSpPr>
        <xdr:cNvPr id="186141" name="AutoShape 248">
          <a:extLst>
            <a:ext uri="{FF2B5EF4-FFF2-40B4-BE49-F238E27FC236}">
              <a16:creationId xmlns:a16="http://schemas.microsoft.com/office/drawing/2014/main" id="{00000000-0008-0000-0200-00001DD70200}"/>
            </a:ext>
          </a:extLst>
        </xdr:cNvPr>
        <xdr:cNvCxnSpPr>
          <a:cxnSpLocks noChangeShapeType="1"/>
        </xdr:cNvCxnSpPr>
      </xdr:nvCxnSpPr>
      <xdr:spPr bwMode="auto">
        <a:xfrm>
          <a:off x="4911725" y="10690226"/>
          <a:ext cx="1558925" cy="15874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698500</xdr:colOff>
      <xdr:row>22</xdr:row>
      <xdr:rowOff>103188</xdr:rowOff>
    </xdr:from>
    <xdr:to>
      <xdr:col>6</xdr:col>
      <xdr:colOff>25400</xdr:colOff>
      <xdr:row>23</xdr:row>
      <xdr:rowOff>112712</xdr:rowOff>
    </xdr:to>
    <xdr:cxnSp macro="">
      <xdr:nvCxnSpPr>
        <xdr:cNvPr id="186142" name="AutoShape 249">
          <a:extLst>
            <a:ext uri="{FF2B5EF4-FFF2-40B4-BE49-F238E27FC236}">
              <a16:creationId xmlns:a16="http://schemas.microsoft.com/office/drawing/2014/main" id="{00000000-0008-0000-0200-00001ED70200}"/>
            </a:ext>
          </a:extLst>
        </xdr:cNvPr>
        <xdr:cNvCxnSpPr>
          <a:cxnSpLocks noChangeShapeType="1"/>
        </xdr:cNvCxnSpPr>
      </xdr:nvCxnSpPr>
      <xdr:spPr bwMode="auto">
        <a:xfrm>
          <a:off x="4079875" y="4278313"/>
          <a:ext cx="2239963" cy="192087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657225</xdr:colOff>
      <xdr:row>66</xdr:row>
      <xdr:rowOff>41275</xdr:rowOff>
    </xdr:from>
    <xdr:to>
      <xdr:col>6</xdr:col>
      <xdr:colOff>19050</xdr:colOff>
      <xdr:row>66</xdr:row>
      <xdr:rowOff>41275</xdr:rowOff>
    </xdr:to>
    <xdr:cxnSp macro="">
      <xdr:nvCxnSpPr>
        <xdr:cNvPr id="186143" name="AutoShape 248">
          <a:extLst>
            <a:ext uri="{FF2B5EF4-FFF2-40B4-BE49-F238E27FC236}">
              <a16:creationId xmlns:a16="http://schemas.microsoft.com/office/drawing/2014/main" id="{00000000-0008-0000-0200-00001FD70200}"/>
            </a:ext>
          </a:extLst>
        </xdr:cNvPr>
        <xdr:cNvCxnSpPr>
          <a:cxnSpLocks noChangeShapeType="1"/>
        </xdr:cNvCxnSpPr>
      </xdr:nvCxnSpPr>
      <xdr:spPr bwMode="auto">
        <a:xfrm>
          <a:off x="4867275" y="12512675"/>
          <a:ext cx="162877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800100</xdr:colOff>
      <xdr:row>57</xdr:row>
      <xdr:rowOff>114300</xdr:rowOff>
    </xdr:from>
    <xdr:to>
      <xdr:col>6</xdr:col>
      <xdr:colOff>0</xdr:colOff>
      <xdr:row>58</xdr:row>
      <xdr:rowOff>104775</xdr:rowOff>
    </xdr:to>
    <xdr:cxnSp macro="">
      <xdr:nvCxnSpPr>
        <xdr:cNvPr id="186144" name="AutoShape 249">
          <a:extLst>
            <a:ext uri="{FF2B5EF4-FFF2-40B4-BE49-F238E27FC236}">
              <a16:creationId xmlns:a16="http://schemas.microsoft.com/office/drawing/2014/main" id="{00000000-0008-0000-0200-000020D70200}"/>
            </a:ext>
          </a:extLst>
        </xdr:cNvPr>
        <xdr:cNvCxnSpPr>
          <a:cxnSpLocks noChangeShapeType="1"/>
        </xdr:cNvCxnSpPr>
      </xdr:nvCxnSpPr>
      <xdr:spPr bwMode="auto">
        <a:xfrm>
          <a:off x="5562600" y="10429875"/>
          <a:ext cx="438150" cy="219075"/>
        </a:xfrm>
        <a:prstGeom prst="bentConnector3">
          <a:avLst>
            <a:gd name="adj1" fmla="val 15704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58</xdr:row>
      <xdr:rowOff>104775</xdr:rowOff>
    </xdr:from>
    <xdr:to>
      <xdr:col>6</xdr:col>
      <xdr:colOff>0</xdr:colOff>
      <xdr:row>60</xdr:row>
      <xdr:rowOff>95250</xdr:rowOff>
    </xdr:to>
    <xdr:cxnSp macro="">
      <xdr:nvCxnSpPr>
        <xdr:cNvPr id="186145" name="AutoShape 249">
          <a:extLst>
            <a:ext uri="{FF2B5EF4-FFF2-40B4-BE49-F238E27FC236}">
              <a16:creationId xmlns:a16="http://schemas.microsoft.com/office/drawing/2014/main" id="{00000000-0008-0000-0200-000021D70200}"/>
            </a:ext>
          </a:extLst>
        </xdr:cNvPr>
        <xdr:cNvCxnSpPr>
          <a:cxnSpLocks noChangeShapeType="1"/>
        </xdr:cNvCxnSpPr>
      </xdr:nvCxnSpPr>
      <xdr:spPr bwMode="auto">
        <a:xfrm>
          <a:off x="4210050" y="11102975"/>
          <a:ext cx="2266950" cy="35877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12700</xdr:colOff>
      <xdr:row>75</xdr:row>
      <xdr:rowOff>76200</xdr:rowOff>
    </xdr:from>
    <xdr:to>
      <xdr:col>6</xdr:col>
      <xdr:colOff>31750</xdr:colOff>
      <xdr:row>80</xdr:row>
      <xdr:rowOff>95250</xdr:rowOff>
    </xdr:to>
    <xdr:cxnSp macro="">
      <xdr:nvCxnSpPr>
        <xdr:cNvPr id="186146" name="AutoShape 249">
          <a:extLst>
            <a:ext uri="{FF2B5EF4-FFF2-40B4-BE49-F238E27FC236}">
              <a16:creationId xmlns:a16="http://schemas.microsoft.com/office/drawing/2014/main" id="{00000000-0008-0000-0200-000022D70200}"/>
            </a:ext>
          </a:extLst>
        </xdr:cNvPr>
        <xdr:cNvCxnSpPr>
          <a:cxnSpLocks noChangeShapeType="1"/>
        </xdr:cNvCxnSpPr>
      </xdr:nvCxnSpPr>
      <xdr:spPr bwMode="auto">
        <a:xfrm>
          <a:off x="4914900" y="14249400"/>
          <a:ext cx="1593850" cy="1143000"/>
        </a:xfrm>
        <a:prstGeom prst="bentConnector3">
          <a:avLst>
            <a:gd name="adj1" fmla="val 67611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647700</xdr:colOff>
      <xdr:row>77</xdr:row>
      <xdr:rowOff>85725</xdr:rowOff>
    </xdr:from>
    <xdr:to>
      <xdr:col>4</xdr:col>
      <xdr:colOff>647700</xdr:colOff>
      <xdr:row>77</xdr:row>
      <xdr:rowOff>85725</xdr:rowOff>
    </xdr:to>
    <xdr:cxnSp macro="">
      <xdr:nvCxnSpPr>
        <xdr:cNvPr id="186147" name="AutoShape 249">
          <a:extLst>
            <a:ext uri="{FF2B5EF4-FFF2-40B4-BE49-F238E27FC236}">
              <a16:creationId xmlns:a16="http://schemas.microsoft.com/office/drawing/2014/main" id="{00000000-0008-0000-0200-000023D70200}"/>
            </a:ext>
          </a:extLst>
        </xdr:cNvPr>
        <xdr:cNvCxnSpPr>
          <a:cxnSpLocks noChangeShapeType="1"/>
        </xdr:cNvCxnSpPr>
      </xdr:nvCxnSpPr>
      <xdr:spPr bwMode="auto">
        <a:xfrm flipV="1">
          <a:off x="4733925" y="14173200"/>
          <a:ext cx="0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657225</xdr:colOff>
      <xdr:row>76</xdr:row>
      <xdr:rowOff>66675</xdr:rowOff>
    </xdr:from>
    <xdr:to>
      <xdr:col>5</xdr:col>
      <xdr:colOff>1076325</xdr:colOff>
      <xdr:row>76</xdr:row>
      <xdr:rowOff>66676</xdr:rowOff>
    </xdr:to>
    <xdr:cxnSp macro="">
      <xdr:nvCxnSpPr>
        <xdr:cNvPr id="186148" name="AutoShape 249">
          <a:extLst>
            <a:ext uri="{FF2B5EF4-FFF2-40B4-BE49-F238E27FC236}">
              <a16:creationId xmlns:a16="http://schemas.microsoft.com/office/drawing/2014/main" id="{00000000-0008-0000-0200-000024D70200}"/>
            </a:ext>
          </a:extLst>
        </xdr:cNvPr>
        <xdr:cNvCxnSpPr>
          <a:cxnSpLocks noChangeShapeType="1"/>
        </xdr:cNvCxnSpPr>
      </xdr:nvCxnSpPr>
      <xdr:spPr bwMode="auto">
        <a:xfrm flipV="1">
          <a:off x="4867275" y="14455775"/>
          <a:ext cx="1111250" cy="1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77</xdr:row>
      <xdr:rowOff>95250</xdr:rowOff>
    </xdr:from>
    <xdr:to>
      <xdr:col>5</xdr:col>
      <xdr:colOff>1095375</xdr:colOff>
      <xdr:row>77</xdr:row>
      <xdr:rowOff>95251</xdr:rowOff>
    </xdr:to>
    <xdr:cxnSp macro="">
      <xdr:nvCxnSpPr>
        <xdr:cNvPr id="33" name="AutoShape 24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>
          <a:cxnSpLocks noChangeShapeType="1"/>
        </xdr:cNvCxnSpPr>
      </xdr:nvCxnSpPr>
      <xdr:spPr bwMode="auto">
        <a:xfrm flipV="1">
          <a:off x="4762500" y="14182725"/>
          <a:ext cx="1095375" cy="1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</xdr:colOff>
      <xdr:row>78</xdr:row>
      <xdr:rowOff>114300</xdr:rowOff>
    </xdr:from>
    <xdr:to>
      <xdr:col>5</xdr:col>
      <xdr:colOff>1047750</xdr:colOff>
      <xdr:row>78</xdr:row>
      <xdr:rowOff>114303</xdr:rowOff>
    </xdr:to>
    <xdr:cxnSp macro="">
      <xdr:nvCxnSpPr>
        <xdr:cNvPr id="34" name="AutoShape 249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cxnSpLocks noChangeShapeType="1"/>
        </xdr:cNvCxnSpPr>
      </xdr:nvCxnSpPr>
      <xdr:spPr bwMode="auto">
        <a:xfrm flipV="1">
          <a:off x="4772025" y="14439900"/>
          <a:ext cx="1038225" cy="3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476250</xdr:colOff>
      <xdr:row>23</xdr:row>
      <xdr:rowOff>111125</xdr:rowOff>
    </xdr:from>
    <xdr:to>
      <xdr:col>6</xdr:col>
      <xdr:colOff>25400</xdr:colOff>
      <xdr:row>24</xdr:row>
      <xdr:rowOff>112712</xdr:rowOff>
    </xdr:to>
    <xdr:cxnSp macro="">
      <xdr:nvCxnSpPr>
        <xdr:cNvPr id="24" name="AutoShape 24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cxnSpLocks noChangeShapeType="1"/>
        </xdr:cNvCxnSpPr>
      </xdr:nvCxnSpPr>
      <xdr:spPr bwMode="auto">
        <a:xfrm>
          <a:off x="5238750" y="4468813"/>
          <a:ext cx="1081088" cy="184149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939800</xdr:colOff>
      <xdr:row>62</xdr:row>
      <xdr:rowOff>63500</xdr:rowOff>
    </xdr:from>
    <xdr:to>
      <xdr:col>6</xdr:col>
      <xdr:colOff>6350</xdr:colOff>
      <xdr:row>63</xdr:row>
      <xdr:rowOff>101600</xdr:rowOff>
    </xdr:to>
    <xdr:cxnSp macro="">
      <xdr:nvCxnSpPr>
        <xdr:cNvPr id="25" name="AutoShape 249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cxnSpLocks noChangeShapeType="1"/>
        </xdr:cNvCxnSpPr>
      </xdr:nvCxnSpPr>
      <xdr:spPr bwMode="auto">
        <a:xfrm>
          <a:off x="5842000" y="11798300"/>
          <a:ext cx="641350" cy="222250"/>
        </a:xfrm>
        <a:prstGeom prst="bentConnector3">
          <a:avLst>
            <a:gd name="adj1" fmla="val 58284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914400</xdr:colOff>
      <xdr:row>58</xdr:row>
      <xdr:rowOff>114300</xdr:rowOff>
    </xdr:from>
    <xdr:to>
      <xdr:col>5</xdr:col>
      <xdr:colOff>1568450</xdr:colOff>
      <xdr:row>59</xdr:row>
      <xdr:rowOff>114300</xdr:rowOff>
    </xdr:to>
    <xdr:cxnSp macro="">
      <xdr:nvCxnSpPr>
        <xdr:cNvPr id="26" name="AutoShape 24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 noChangeShapeType="1"/>
        </xdr:cNvCxnSpPr>
      </xdr:nvCxnSpPr>
      <xdr:spPr bwMode="auto">
        <a:xfrm>
          <a:off x="5816600" y="11112500"/>
          <a:ext cx="654050" cy="184150"/>
        </a:xfrm>
        <a:prstGeom prst="bentConnector3">
          <a:avLst>
            <a:gd name="adj1" fmla="val 1456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41</xdr:row>
      <xdr:rowOff>0</xdr:rowOff>
    </xdr:from>
    <xdr:to>
      <xdr:col>5</xdr:col>
      <xdr:colOff>9525</xdr:colOff>
      <xdr:row>41</xdr:row>
      <xdr:rowOff>123825</xdr:rowOff>
    </xdr:to>
    <xdr:cxnSp macro="">
      <xdr:nvCxnSpPr>
        <xdr:cNvPr id="2" name="AutoShape 18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4200525" y="8086725"/>
          <a:ext cx="1495425" cy="1238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27</xdr:row>
      <xdr:rowOff>70139</xdr:rowOff>
    </xdr:from>
    <xdr:to>
      <xdr:col>5</xdr:col>
      <xdr:colOff>9525</xdr:colOff>
      <xdr:row>27</xdr:row>
      <xdr:rowOff>70139</xdr:rowOff>
    </xdr:to>
    <xdr:cxnSp macro="">
      <xdr:nvCxnSpPr>
        <xdr:cNvPr id="3" name="AutoShape 19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>
          <a:cxnSpLocks noChangeShapeType="1"/>
        </xdr:cNvCxnSpPr>
      </xdr:nvCxnSpPr>
      <xdr:spPr bwMode="auto">
        <a:xfrm>
          <a:off x="4210050" y="4975514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25</xdr:row>
      <xdr:rowOff>112568</xdr:rowOff>
    </xdr:from>
    <xdr:to>
      <xdr:col>5</xdr:col>
      <xdr:colOff>0</xdr:colOff>
      <xdr:row>25</xdr:row>
      <xdr:rowOff>112568</xdr:rowOff>
    </xdr:to>
    <xdr:cxnSp macro="">
      <xdr:nvCxnSpPr>
        <xdr:cNvPr id="4" name="AutoShape 19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>
          <a:cxnSpLocks noChangeShapeType="1"/>
        </xdr:cNvCxnSpPr>
      </xdr:nvCxnSpPr>
      <xdr:spPr bwMode="auto">
        <a:xfrm>
          <a:off x="4199659" y="4658591"/>
          <a:ext cx="1515341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44</xdr:row>
      <xdr:rowOff>159327</xdr:rowOff>
    </xdr:from>
    <xdr:to>
      <xdr:col>5</xdr:col>
      <xdr:colOff>19050</xdr:colOff>
      <xdr:row>44</xdr:row>
      <xdr:rowOff>159327</xdr:rowOff>
    </xdr:to>
    <xdr:cxnSp macro="">
      <xdr:nvCxnSpPr>
        <xdr:cNvPr id="5" name="AutoShape 19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>
          <a:cxnSpLocks noChangeShapeType="1"/>
        </xdr:cNvCxnSpPr>
      </xdr:nvCxnSpPr>
      <xdr:spPr bwMode="auto">
        <a:xfrm>
          <a:off x="4219575" y="8903277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53</xdr:row>
      <xdr:rowOff>95250</xdr:rowOff>
    </xdr:from>
    <xdr:to>
      <xdr:col>5</xdr:col>
      <xdr:colOff>9525</xdr:colOff>
      <xdr:row>53</xdr:row>
      <xdr:rowOff>95250</xdr:rowOff>
    </xdr:to>
    <xdr:cxnSp macro="">
      <xdr:nvCxnSpPr>
        <xdr:cNvPr id="6" name="AutoShape 19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cxnSpLocks noChangeShapeType="1"/>
        </xdr:cNvCxnSpPr>
      </xdr:nvCxnSpPr>
      <xdr:spPr bwMode="auto">
        <a:xfrm>
          <a:off x="4210050" y="10544175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56</xdr:row>
      <xdr:rowOff>76200</xdr:rowOff>
    </xdr:from>
    <xdr:to>
      <xdr:col>5</xdr:col>
      <xdr:colOff>9525</xdr:colOff>
      <xdr:row>57</xdr:row>
      <xdr:rowOff>0</xdr:rowOff>
    </xdr:to>
    <xdr:cxnSp macro="">
      <xdr:nvCxnSpPr>
        <xdr:cNvPr id="7" name="AutoShape 25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>
          <a:cxnSpLocks noChangeShapeType="1"/>
        </xdr:cNvCxnSpPr>
      </xdr:nvCxnSpPr>
      <xdr:spPr bwMode="auto">
        <a:xfrm>
          <a:off x="4210050" y="11010900"/>
          <a:ext cx="1485900" cy="857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42</xdr:row>
      <xdr:rowOff>66675</xdr:rowOff>
    </xdr:from>
    <xdr:to>
      <xdr:col>5</xdr:col>
      <xdr:colOff>9525</xdr:colOff>
      <xdr:row>43</xdr:row>
      <xdr:rowOff>9525</xdr:rowOff>
    </xdr:to>
    <xdr:cxnSp macro="">
      <xdr:nvCxnSpPr>
        <xdr:cNvPr id="8" name="AutoShape 25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>
          <a:cxnSpLocks noChangeShapeType="1"/>
        </xdr:cNvCxnSpPr>
      </xdr:nvCxnSpPr>
      <xdr:spPr bwMode="auto">
        <a:xfrm>
          <a:off x="4219575" y="8382000"/>
          <a:ext cx="1476375" cy="2000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755072</xdr:colOff>
      <xdr:row>48</xdr:row>
      <xdr:rowOff>17319</xdr:rowOff>
    </xdr:from>
    <xdr:to>
      <xdr:col>5</xdr:col>
      <xdr:colOff>25977</xdr:colOff>
      <xdr:row>48</xdr:row>
      <xdr:rowOff>103044</xdr:rowOff>
    </xdr:to>
    <xdr:cxnSp macro="">
      <xdr:nvCxnSpPr>
        <xdr:cNvPr id="9" name="AutoShape 25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4192731" y="9862705"/>
          <a:ext cx="1522269" cy="857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67</xdr:row>
      <xdr:rowOff>9525</xdr:rowOff>
    </xdr:from>
    <xdr:to>
      <xdr:col>5</xdr:col>
      <xdr:colOff>9525</xdr:colOff>
      <xdr:row>68</xdr:row>
      <xdr:rowOff>114300</xdr:rowOff>
    </xdr:to>
    <xdr:cxnSp macro="">
      <xdr:nvCxnSpPr>
        <xdr:cNvPr id="10" name="AutoShape 25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4200525" y="12792075"/>
          <a:ext cx="1495425" cy="342900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69273</xdr:rowOff>
    </xdr:from>
    <xdr:to>
      <xdr:col>5</xdr:col>
      <xdr:colOff>8659</xdr:colOff>
      <xdr:row>26</xdr:row>
      <xdr:rowOff>69273</xdr:rowOff>
    </xdr:to>
    <xdr:cxnSp macro="">
      <xdr:nvCxnSpPr>
        <xdr:cNvPr id="11" name="AutoShape 19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>
          <a:cxnSpLocks noChangeShapeType="1"/>
        </xdr:cNvCxnSpPr>
      </xdr:nvCxnSpPr>
      <xdr:spPr bwMode="auto">
        <a:xfrm>
          <a:off x="4210050" y="4812723"/>
          <a:ext cx="1485034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39</xdr:row>
      <xdr:rowOff>112569</xdr:rowOff>
    </xdr:from>
    <xdr:to>
      <xdr:col>5</xdr:col>
      <xdr:colOff>9525</xdr:colOff>
      <xdr:row>39</xdr:row>
      <xdr:rowOff>112569</xdr:rowOff>
    </xdr:to>
    <xdr:cxnSp macro="">
      <xdr:nvCxnSpPr>
        <xdr:cNvPr id="12" name="AutoShape 19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>
          <a:cxnSpLocks noChangeShapeType="1"/>
        </xdr:cNvCxnSpPr>
      </xdr:nvCxnSpPr>
      <xdr:spPr bwMode="auto">
        <a:xfrm>
          <a:off x="4210050" y="7808769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800100</xdr:colOff>
      <xdr:row>18</xdr:row>
      <xdr:rowOff>21359</xdr:rowOff>
    </xdr:from>
    <xdr:to>
      <xdr:col>5</xdr:col>
      <xdr:colOff>2309</xdr:colOff>
      <xdr:row>18</xdr:row>
      <xdr:rowOff>21359</xdr:rowOff>
    </xdr:to>
    <xdr:cxnSp macro="">
      <xdr:nvCxnSpPr>
        <xdr:cNvPr id="15" name="AutoShape 197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>
          <a:cxnSpLocks noChangeShapeType="1"/>
        </xdr:cNvCxnSpPr>
      </xdr:nvCxnSpPr>
      <xdr:spPr bwMode="auto">
        <a:xfrm>
          <a:off x="4391025" y="3297959"/>
          <a:ext cx="1583459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23</xdr:row>
      <xdr:rowOff>138545</xdr:rowOff>
    </xdr:from>
    <xdr:to>
      <xdr:col>5</xdr:col>
      <xdr:colOff>0</xdr:colOff>
      <xdr:row>23</xdr:row>
      <xdr:rowOff>138545</xdr:rowOff>
    </xdr:to>
    <xdr:cxnSp macro="">
      <xdr:nvCxnSpPr>
        <xdr:cNvPr id="16" name="AutoShape 19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cxnSpLocks noChangeShapeType="1"/>
        </xdr:cNvCxnSpPr>
      </xdr:nvCxnSpPr>
      <xdr:spPr bwMode="auto">
        <a:xfrm>
          <a:off x="4199659" y="4320886"/>
          <a:ext cx="2034886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70139</xdr:rowOff>
    </xdr:from>
    <xdr:to>
      <xdr:col>5</xdr:col>
      <xdr:colOff>9525</xdr:colOff>
      <xdr:row>26</xdr:row>
      <xdr:rowOff>70139</xdr:rowOff>
    </xdr:to>
    <xdr:cxnSp macro="">
      <xdr:nvCxnSpPr>
        <xdr:cNvPr id="17" name="AutoShape 19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cxnSpLocks noChangeShapeType="1"/>
        </xdr:cNvCxnSpPr>
      </xdr:nvCxnSpPr>
      <xdr:spPr bwMode="auto">
        <a:xfrm>
          <a:off x="4208318" y="4979844"/>
          <a:ext cx="149023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45</xdr:row>
      <xdr:rowOff>129886</xdr:rowOff>
    </xdr:from>
    <xdr:to>
      <xdr:col>5</xdr:col>
      <xdr:colOff>9525</xdr:colOff>
      <xdr:row>45</xdr:row>
      <xdr:rowOff>129886</xdr:rowOff>
    </xdr:to>
    <xdr:cxnSp macro="">
      <xdr:nvCxnSpPr>
        <xdr:cNvPr id="27" name="AutoShape 19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cxnSpLocks noChangeShapeType="1"/>
        </xdr:cNvCxnSpPr>
      </xdr:nvCxnSpPr>
      <xdr:spPr bwMode="auto">
        <a:xfrm>
          <a:off x="4328160" y="9212926"/>
          <a:ext cx="155638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28</xdr:row>
      <xdr:rowOff>69273</xdr:rowOff>
    </xdr:from>
    <xdr:to>
      <xdr:col>5</xdr:col>
      <xdr:colOff>8659</xdr:colOff>
      <xdr:row>28</xdr:row>
      <xdr:rowOff>69273</xdr:rowOff>
    </xdr:to>
    <xdr:cxnSp macro="">
      <xdr:nvCxnSpPr>
        <xdr:cNvPr id="18" name="AutoShape 19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cxnSpLocks noChangeShapeType="1"/>
        </xdr:cNvCxnSpPr>
      </xdr:nvCxnSpPr>
      <xdr:spPr bwMode="auto">
        <a:xfrm>
          <a:off x="4329545" y="4786746"/>
          <a:ext cx="1553441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28</xdr:row>
      <xdr:rowOff>70139</xdr:rowOff>
    </xdr:from>
    <xdr:to>
      <xdr:col>5</xdr:col>
      <xdr:colOff>9525</xdr:colOff>
      <xdr:row>28</xdr:row>
      <xdr:rowOff>70139</xdr:rowOff>
    </xdr:to>
    <xdr:cxnSp macro="">
      <xdr:nvCxnSpPr>
        <xdr:cNvPr id="19" name="AutoShape 19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cxnSpLocks noChangeShapeType="1"/>
        </xdr:cNvCxnSpPr>
      </xdr:nvCxnSpPr>
      <xdr:spPr bwMode="auto">
        <a:xfrm>
          <a:off x="4329545" y="4787612"/>
          <a:ext cx="1554307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782783</xdr:colOff>
      <xdr:row>30</xdr:row>
      <xdr:rowOff>6929</xdr:rowOff>
    </xdr:from>
    <xdr:to>
      <xdr:col>5</xdr:col>
      <xdr:colOff>1733</xdr:colOff>
      <xdr:row>30</xdr:row>
      <xdr:rowOff>6929</xdr:rowOff>
    </xdr:to>
    <xdr:cxnSp macro="">
      <xdr:nvCxnSpPr>
        <xdr:cNvPr id="20" name="AutoShape 197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>
          <a:cxnSpLocks noChangeShapeType="1"/>
        </xdr:cNvCxnSpPr>
      </xdr:nvCxnSpPr>
      <xdr:spPr bwMode="auto">
        <a:xfrm>
          <a:off x="4322619" y="5437911"/>
          <a:ext cx="1553441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6</xdr:row>
      <xdr:rowOff>38100</xdr:rowOff>
    </xdr:from>
    <xdr:to>
      <xdr:col>13</xdr:col>
      <xdr:colOff>9525</xdr:colOff>
      <xdr:row>7</xdr:row>
      <xdr:rowOff>57150</xdr:rowOff>
    </xdr:to>
    <xdr:cxnSp macro="">
      <xdr:nvCxnSpPr>
        <xdr:cNvPr id="4" name="AutoShape 25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>
          <a:cxnSpLocks noChangeShapeType="1"/>
        </xdr:cNvCxnSpPr>
      </xdr:nvCxnSpPr>
      <xdr:spPr bwMode="auto">
        <a:xfrm>
          <a:off x="10591800" y="1133475"/>
          <a:ext cx="1943100" cy="209550"/>
        </a:xfrm>
        <a:prstGeom prst="bentConnector3">
          <a:avLst>
            <a:gd name="adj1" fmla="val 80139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400050</xdr:colOff>
      <xdr:row>6</xdr:row>
      <xdr:rowOff>38100</xdr:rowOff>
    </xdr:from>
    <xdr:to>
      <xdr:col>10</xdr:col>
      <xdr:colOff>400050</xdr:colOff>
      <xdr:row>6</xdr:row>
      <xdr:rowOff>180975</xdr:rowOff>
    </xdr:to>
    <xdr:cxnSp macro="">
      <xdr:nvCxnSpPr>
        <xdr:cNvPr id="5" name="AutoShape 19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10601325" y="1133475"/>
          <a:ext cx="0" cy="14287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28575</xdr:colOff>
      <xdr:row>14</xdr:row>
      <xdr:rowOff>76200</xdr:rowOff>
    </xdr:from>
    <xdr:to>
      <xdr:col>13</xdr:col>
      <xdr:colOff>9525</xdr:colOff>
      <xdr:row>15</xdr:row>
      <xdr:rowOff>85725</xdr:rowOff>
    </xdr:to>
    <xdr:cxnSp macro="">
      <xdr:nvCxnSpPr>
        <xdr:cNvPr id="14" name="AutoShape 250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>
          <a:cxnSpLocks noChangeShapeType="1"/>
        </xdr:cNvCxnSpPr>
      </xdr:nvCxnSpPr>
      <xdr:spPr bwMode="auto">
        <a:xfrm>
          <a:off x="10944225" y="2619375"/>
          <a:ext cx="1590675" cy="18097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14</xdr:row>
      <xdr:rowOff>66675</xdr:rowOff>
    </xdr:from>
    <xdr:to>
      <xdr:col>13</xdr:col>
      <xdr:colOff>9525</xdr:colOff>
      <xdr:row>14</xdr:row>
      <xdr:rowOff>66675</xdr:rowOff>
    </xdr:to>
    <xdr:cxnSp macro="">
      <xdr:nvCxnSpPr>
        <xdr:cNvPr id="16" name="AutoShape 19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>
          <a:cxnSpLocks noChangeShapeType="1"/>
        </xdr:cNvCxnSpPr>
      </xdr:nvCxnSpPr>
      <xdr:spPr bwMode="auto">
        <a:xfrm>
          <a:off x="11630025" y="2609850"/>
          <a:ext cx="90487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47625</xdr:rowOff>
    </xdr:from>
    <xdr:to>
      <xdr:col>0</xdr:col>
      <xdr:colOff>19050</xdr:colOff>
      <xdr:row>8</xdr:row>
      <xdr:rowOff>161925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153352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19050</xdr:colOff>
      <xdr:row>18</xdr:row>
      <xdr:rowOff>47625</xdr:rowOff>
    </xdr:from>
    <xdr:to>
      <xdr:col>0</xdr:col>
      <xdr:colOff>19050</xdr:colOff>
      <xdr:row>18</xdr:row>
      <xdr:rowOff>161925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32480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47625</xdr:rowOff>
    </xdr:from>
    <xdr:to>
      <xdr:col>1</xdr:col>
      <xdr:colOff>0</xdr:colOff>
      <xdr:row>3</xdr:row>
      <xdr:rowOff>28575</xdr:rowOff>
    </xdr:to>
    <xdr:sp macro="" textlink="">
      <xdr:nvSpPr>
        <xdr:cNvPr id="2" name="txtGo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429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28575</xdr:rowOff>
    </xdr:to>
    <xdr:sp macro="" textlink="">
      <xdr:nvSpPr>
        <xdr:cNvPr id="3" name="txtGoT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381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25400</xdr:rowOff>
    </xdr:to>
    <xdr:sp macro="" textlink="">
      <xdr:nvSpPr>
        <xdr:cNvPr id="2" name="txtGoT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762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>
    <xdr:from>
      <xdr:col>19</xdr:col>
      <xdr:colOff>0</xdr:colOff>
      <xdr:row>65535</xdr:row>
      <xdr:rowOff>0</xdr:rowOff>
    </xdr:from>
    <xdr:to>
      <xdr:col>19</xdr:col>
      <xdr:colOff>0</xdr:colOff>
      <xdr:row>65535</xdr:row>
      <xdr:rowOff>0</xdr:rowOff>
    </xdr:to>
    <xdr:sp macro="" textlink="">
      <xdr:nvSpPr>
        <xdr:cNvPr id="172907" name="Entreprenad">
          <a:extLst>
            <a:ext uri="{FF2B5EF4-FFF2-40B4-BE49-F238E27FC236}">
              <a16:creationId xmlns:a16="http://schemas.microsoft.com/office/drawing/2014/main" id="{00000000-0008-0000-0A00-00006BA30200}"/>
            </a:ext>
          </a:extLst>
        </xdr:cNvPr>
        <xdr:cNvSpPr txBox="1">
          <a:spLocks noChangeArrowheads="1"/>
        </xdr:cNvSpPr>
      </xdr:nvSpPr>
      <xdr:spPr bwMode="auto">
        <a:xfrm>
          <a:off x="14478000" y="7000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65535</xdr:row>
      <xdr:rowOff>0</xdr:rowOff>
    </xdr:from>
    <xdr:to>
      <xdr:col>19</xdr:col>
      <xdr:colOff>0</xdr:colOff>
      <xdr:row>65535</xdr:row>
      <xdr:rowOff>0</xdr:rowOff>
    </xdr:to>
    <xdr:sp macro="" textlink="">
      <xdr:nvSpPr>
        <xdr:cNvPr id="172908" name="Entreprenad">
          <a:extLst>
            <a:ext uri="{FF2B5EF4-FFF2-40B4-BE49-F238E27FC236}">
              <a16:creationId xmlns:a16="http://schemas.microsoft.com/office/drawing/2014/main" id="{00000000-0008-0000-0A00-00006CA30200}"/>
            </a:ext>
          </a:extLst>
        </xdr:cNvPr>
        <xdr:cNvSpPr txBox="1">
          <a:spLocks noChangeArrowheads="1"/>
        </xdr:cNvSpPr>
      </xdr:nvSpPr>
      <xdr:spPr bwMode="auto">
        <a:xfrm>
          <a:off x="14478000" y="7000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a:spPr>
      <a:bodyPr/>
      <a:lstStyle>
        <a:defPPr>
          <a:defRPr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FFFF00"/>
    <pageSetUpPr fitToPage="1"/>
  </sheetPr>
  <dimension ref="A1:E50"/>
  <sheetViews>
    <sheetView tabSelected="1" zoomScaleNormal="100" workbookViewId="0">
      <selection sqref="A1:D1"/>
    </sheetView>
  </sheetViews>
  <sheetFormatPr defaultColWidth="0" defaultRowHeight="12.75" zeroHeight="1"/>
  <cols>
    <col min="1" max="1" width="22.85546875" style="421" customWidth="1"/>
    <col min="2" max="2" width="26.5703125" style="421" customWidth="1"/>
    <col min="3" max="3" width="20.5703125" style="421" customWidth="1"/>
    <col min="4" max="4" width="26.5703125" style="421" customWidth="1"/>
    <col min="5" max="5" width="12.42578125" style="420" customWidth="1"/>
  </cols>
  <sheetData>
    <row r="1" spans="1:5" s="422" customFormat="1">
      <c r="A1" s="2469"/>
      <c r="B1" s="2470"/>
      <c r="C1" s="2470"/>
      <c r="D1" s="2470"/>
      <c r="E1" s="2183"/>
    </row>
    <row r="2" spans="1:5" s="421" customFormat="1" ht="15.75">
      <c r="A2" s="2184" t="s">
        <v>1212</v>
      </c>
      <c r="B2" s="2185"/>
      <c r="C2" s="2186"/>
      <c r="D2" s="2186"/>
      <c r="E2" s="2187"/>
    </row>
    <row r="3" spans="1:5" s="421" customFormat="1" ht="15.75">
      <c r="A3" s="2188"/>
      <c r="B3" s="2189"/>
      <c r="C3" s="2186"/>
      <c r="D3" s="2186"/>
      <c r="E3" s="2187"/>
    </row>
    <row r="4" spans="1:5" s="421" customFormat="1" ht="15.75">
      <c r="A4" s="1955" t="str">
        <f>"Invånare 31 dec. "&amp;År&amp;""</f>
        <v>Invånare 31 dec. 2021</v>
      </c>
      <c r="B4" s="2190">
        <v>10452.325999999999</v>
      </c>
      <c r="C4" s="2191">
        <v>10452326</v>
      </c>
      <c r="D4" s="2186"/>
      <c r="E4" s="2187"/>
    </row>
    <row r="5" spans="1:5" s="421" customFormat="1" ht="19.5" customHeight="1">
      <c r="A5" s="1955" t="str">
        <f>"Inv. 7-15 år 31 dec. "&amp;År&amp;""</f>
        <v>Inv. 7-15 år 31 dec. 2021</v>
      </c>
      <c r="B5" s="2190">
        <v>1123.982</v>
      </c>
      <c r="C5" s="2191">
        <v>1123982</v>
      </c>
      <c r="D5" s="2186"/>
      <c r="E5" s="2187"/>
    </row>
    <row r="6" spans="1:5" s="421" customFormat="1">
      <c r="A6" s="2192"/>
      <c r="B6" s="2192"/>
      <c r="C6" s="2192"/>
      <c r="D6" s="2192"/>
      <c r="E6" s="2192"/>
    </row>
    <row r="7" spans="1:5" s="421" customFormat="1">
      <c r="A7" s="2192"/>
      <c r="B7" s="2192"/>
      <c r="C7" s="2192"/>
      <c r="D7" s="2192"/>
      <c r="E7" s="2192"/>
    </row>
    <row r="8" spans="1:5" s="421" customFormat="1" ht="22.5" customHeight="1">
      <c r="A8" s="2192"/>
      <c r="B8" s="2192"/>
      <c r="C8" s="2192"/>
      <c r="D8" s="2192"/>
      <c r="E8" s="2192"/>
    </row>
    <row r="9" spans="1:5" s="421" customFormat="1" ht="12.75" customHeight="1">
      <c r="A9" s="2192"/>
      <c r="B9" s="2192"/>
      <c r="C9" s="2192"/>
      <c r="D9" s="2192"/>
      <c r="E9" s="2192"/>
    </row>
    <row r="10" spans="1:5" s="421" customFormat="1">
      <c r="A10" s="2192"/>
      <c r="B10" s="2192"/>
      <c r="C10" s="2192"/>
      <c r="D10" s="2192"/>
      <c r="E10" s="2192"/>
    </row>
    <row r="11" spans="1:5" s="421" customFormat="1">
      <c r="A11" s="2192"/>
      <c r="B11" s="2192"/>
      <c r="C11" s="2192"/>
      <c r="D11" s="2192"/>
      <c r="E11" s="2192"/>
    </row>
    <row r="12" spans="1:5" s="421" customFormat="1" ht="33">
      <c r="A12" s="2193" t="s">
        <v>1213</v>
      </c>
      <c r="B12" s="2192"/>
      <c r="C12" s="2192"/>
      <c r="D12" s="2192"/>
      <c r="E12" s="2192"/>
    </row>
    <row r="13" spans="1:5" s="421" customFormat="1">
      <c r="A13" s="2192"/>
      <c r="B13" s="2192"/>
      <c r="C13" s="2192"/>
      <c r="D13" s="2192"/>
      <c r="E13" s="2192"/>
    </row>
    <row r="14" spans="1:5" s="421" customFormat="1" ht="33">
      <c r="A14" s="2193" t="s">
        <v>1214</v>
      </c>
      <c r="B14" s="2192"/>
      <c r="C14" s="2192"/>
      <c r="D14" s="2192"/>
      <c r="E14" s="2192"/>
    </row>
    <row r="15" spans="1:5" s="421" customFormat="1">
      <c r="A15" s="2192"/>
      <c r="B15" s="2192"/>
      <c r="C15" s="2192"/>
      <c r="D15" s="2192"/>
      <c r="E15" s="2192"/>
    </row>
    <row r="16" spans="1:5" s="421" customFormat="1">
      <c r="A16" s="2192"/>
      <c r="B16" s="2192"/>
      <c r="C16" s="2192"/>
      <c r="D16" s="2192"/>
      <c r="E16" s="2192"/>
    </row>
    <row r="17" spans="1:5" s="421" customFormat="1">
      <c r="A17" s="2192"/>
      <c r="B17" s="2192"/>
      <c r="C17" s="2192"/>
      <c r="D17" s="2192"/>
      <c r="E17" s="2192"/>
    </row>
    <row r="18" spans="1:5" s="421" customFormat="1" ht="13.35" customHeight="1">
      <c r="A18" s="2192"/>
      <c r="B18" s="2192"/>
      <c r="C18" s="2192"/>
      <c r="D18" s="2192"/>
      <c r="E18" s="2192"/>
    </row>
    <row r="19" spans="1:5" s="421" customFormat="1">
      <c r="A19" s="2192"/>
      <c r="B19" s="2192"/>
      <c r="C19" s="2192"/>
      <c r="D19" s="2192"/>
      <c r="E19" s="2192"/>
    </row>
    <row r="20" spans="1:5" s="421" customFormat="1">
      <c r="A20" s="2192"/>
      <c r="B20" s="2192"/>
      <c r="C20" s="2192"/>
      <c r="D20" s="2192"/>
      <c r="E20" s="2192"/>
    </row>
    <row r="21" spans="1:5" s="421" customFormat="1">
      <c r="A21" s="2192"/>
      <c r="B21" s="2192"/>
      <c r="C21" s="2192"/>
      <c r="D21" s="2192"/>
      <c r="E21" s="2192"/>
    </row>
    <row r="22" spans="1:5" s="421" customFormat="1">
      <c r="A22" s="2192"/>
      <c r="B22" s="2192"/>
      <c r="C22" s="2192"/>
      <c r="D22" s="2192"/>
      <c r="E22" s="2192"/>
    </row>
    <row r="23" spans="1:5" s="421" customFormat="1">
      <c r="A23" s="2192"/>
      <c r="B23" s="2192"/>
      <c r="C23" s="2192"/>
      <c r="D23" s="2192"/>
      <c r="E23" s="2192"/>
    </row>
    <row r="24" spans="1:5" s="421" customFormat="1">
      <c r="A24" s="2192"/>
      <c r="B24" s="2192"/>
      <c r="C24" s="2192"/>
      <c r="D24" s="2192"/>
      <c r="E24" s="2192"/>
    </row>
    <row r="25" spans="1:5" s="421" customFormat="1">
      <c r="A25" s="2192"/>
      <c r="B25" s="2192"/>
      <c r="C25" s="2192"/>
      <c r="D25" s="2192"/>
      <c r="E25" s="2192"/>
    </row>
    <row r="26" spans="1:5" s="421" customFormat="1">
      <c r="A26" s="2192"/>
      <c r="B26" s="2192"/>
      <c r="C26" s="2192"/>
      <c r="D26" s="2192"/>
      <c r="E26" s="2192"/>
    </row>
    <row r="27" spans="1:5" s="421" customFormat="1">
      <c r="A27" s="2192"/>
      <c r="B27" s="2192"/>
      <c r="C27" s="2192"/>
      <c r="D27" s="2192"/>
      <c r="E27" s="2192"/>
    </row>
    <row r="28" spans="1:5" s="421" customFormat="1">
      <c r="A28" s="2192"/>
      <c r="B28" s="2192"/>
      <c r="C28" s="2192"/>
      <c r="D28" s="2192"/>
      <c r="E28" s="2192"/>
    </row>
    <row r="29" spans="1:5" s="421" customFormat="1">
      <c r="A29" s="2192"/>
      <c r="B29" s="2192"/>
      <c r="C29" s="2192"/>
      <c r="D29" s="2192"/>
      <c r="E29" s="2192"/>
    </row>
    <row r="30" spans="1:5" s="421" customFormat="1">
      <c r="A30" s="2192"/>
      <c r="B30" s="2192"/>
      <c r="C30" s="2192"/>
      <c r="D30" s="2192"/>
      <c r="E30" s="2192"/>
    </row>
    <row r="31" spans="1:5" s="421" customFormat="1">
      <c r="A31" s="2192"/>
      <c r="B31" s="2192"/>
      <c r="C31" s="2192"/>
      <c r="D31" s="2192"/>
      <c r="E31" s="2192"/>
    </row>
    <row r="32" spans="1:5" s="421" customFormat="1">
      <c r="A32" s="2192"/>
      <c r="B32" s="2192"/>
      <c r="C32" s="2192"/>
      <c r="D32" s="2192"/>
      <c r="E32" s="2192"/>
    </row>
    <row r="33" spans="1:5" s="421" customFormat="1">
      <c r="A33" s="2192"/>
      <c r="B33" s="2192"/>
      <c r="C33" s="2192"/>
      <c r="D33" s="2192"/>
      <c r="E33" s="2192"/>
    </row>
    <row r="34" spans="1:5" s="421" customFormat="1">
      <c r="A34" s="2192"/>
      <c r="B34" s="2192"/>
      <c r="C34" s="2192"/>
      <c r="D34" s="2192"/>
      <c r="E34" s="2192"/>
    </row>
    <row r="35" spans="1:5" s="421" customFormat="1">
      <c r="A35" s="2192"/>
      <c r="B35" s="2192"/>
      <c r="C35" s="2192"/>
      <c r="D35" s="2192"/>
      <c r="E35" s="2192"/>
    </row>
    <row r="36" spans="1:5" s="421" customFormat="1">
      <c r="A36" s="2192"/>
      <c r="B36" s="2192"/>
      <c r="C36" s="2192"/>
      <c r="D36" s="2192"/>
      <c r="E36" s="2192"/>
    </row>
    <row r="37" spans="1:5" s="421" customFormat="1">
      <c r="A37" s="2192"/>
      <c r="B37" s="2192"/>
      <c r="C37" s="2192"/>
      <c r="D37" s="2192"/>
      <c r="E37" s="2192"/>
    </row>
    <row r="38" spans="1:5" s="421" customFormat="1">
      <c r="A38" s="2192"/>
      <c r="B38" s="2192"/>
      <c r="C38" s="2192"/>
      <c r="D38" s="2192"/>
      <c r="E38" s="2192"/>
    </row>
    <row r="39" spans="1:5" s="421" customFormat="1">
      <c r="A39" s="2192"/>
      <c r="B39" s="2192"/>
      <c r="C39" s="2192"/>
      <c r="D39" s="2192"/>
      <c r="E39" s="2192"/>
    </row>
    <row r="40" spans="1:5" s="421" customFormat="1">
      <c r="A40" s="2192"/>
      <c r="B40" s="2192"/>
      <c r="C40" s="2192"/>
      <c r="D40" s="2192"/>
      <c r="E40" s="2192"/>
    </row>
    <row r="41" spans="1:5" s="421" customFormat="1">
      <c r="A41" s="2192"/>
      <c r="B41" s="2192"/>
      <c r="C41" s="2192"/>
      <c r="D41" s="2192"/>
      <c r="E41" s="2192"/>
    </row>
    <row r="42" spans="1:5" s="421" customFormat="1">
      <c r="A42" s="2192"/>
      <c r="B42" s="2192"/>
      <c r="C42" s="2192"/>
      <c r="D42" s="2192"/>
      <c r="E42" s="2192"/>
    </row>
    <row r="43" spans="1:5" s="421" customFormat="1">
      <c r="A43" s="2192"/>
      <c r="B43" s="2192"/>
      <c r="C43" s="2192"/>
      <c r="D43" s="2192"/>
      <c r="E43" s="2192"/>
    </row>
    <row r="44" spans="1:5" s="421" customFormat="1">
      <c r="A44" s="2192"/>
      <c r="B44" s="2192"/>
      <c r="C44" s="2192"/>
      <c r="D44" s="2192"/>
      <c r="E44" s="2192"/>
    </row>
    <row r="45" spans="1:5" s="421" customFormat="1">
      <c r="A45" s="2192"/>
      <c r="B45" s="2192"/>
      <c r="C45" s="2192"/>
      <c r="D45" s="2192"/>
      <c r="E45" s="2192"/>
    </row>
    <row r="46" spans="1:5" s="421" customFormat="1">
      <c r="A46" s="2192"/>
      <c r="B46" s="2192"/>
      <c r="C46" s="2192"/>
      <c r="D46" s="2192"/>
      <c r="E46" s="2192"/>
    </row>
    <row r="47" spans="1:5" s="421" customFormat="1">
      <c r="A47" s="2192"/>
      <c r="B47" s="2192"/>
      <c r="C47" s="2192"/>
      <c r="D47" s="2192"/>
      <c r="E47" s="2192"/>
    </row>
    <row r="48" spans="1:5" s="421" customFormat="1">
      <c r="A48" s="2192"/>
      <c r="B48" s="2192"/>
      <c r="C48" s="2192"/>
      <c r="D48" s="2192"/>
      <c r="E48" s="2192"/>
    </row>
    <row r="49" spans="1:5" s="421" customFormat="1">
      <c r="A49" s="2194"/>
      <c r="B49" s="2187"/>
      <c r="C49" s="2187"/>
      <c r="D49" s="2187"/>
      <c r="E49" s="2187"/>
    </row>
    <row r="50" spans="1:5" s="307" customFormat="1" ht="54.75" customHeight="1">
      <c r="A50" s="2195" t="s">
        <v>1217</v>
      </c>
      <c r="B50" s="2196"/>
      <c r="C50" s="2196"/>
      <c r="D50" s="2196"/>
      <c r="E50" s="2196"/>
    </row>
  </sheetData>
  <sheetProtection algorithmName="SHA-512" hashValue="PlXDaLWRvNUYd5Qk5pQDNX+utQCDOYm39ErpfUbPUyVb9BmA4UTtPTxoSEHCLs/ldQ7S02MZpJwiremWBFXnNg==" saltValue="eLwFjmJTb+Y4LvclILyNeg==" spinCount="100000" sheet="1" objects="1" scenarios="1"/>
  <customSheetViews>
    <customSheetView guid="{97D6DB71-3F4C-4C5F-8C5B-51E3EBF78932}" showPageBreaks="1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71" orientation="portrait" r:id="rId1"/>
    </customSheetView>
    <customSheetView guid="{99FBDEB7-DD08-4F57-81F4-3C180403E153}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65" orientation="portrait" r:id="rId2"/>
    </customSheetView>
    <customSheetView guid="{27C9E95B-0E2B-454F-B637-1CECC9579A10}" fitToPage="1" hiddenRows="1" hiddenColumns="1" showRuler="0">
      <selection activeCell="D3" sqref="D3"/>
      <pageMargins left="0.70866141732283472" right="0.70866141732283472" top="0.74803149606299213" bottom="0.74803149606299213" header="0.31496062992125984" footer="0.31496062992125984"/>
      <pageSetup paperSize="9" scale="65" orientation="portrait" r:id="rId3"/>
      <headerFooter alignWithMargins="0"/>
    </customSheetView>
  </customSheetViews>
  <mergeCells count="1">
    <mergeCell ref="A1:D1"/>
  </mergeCells>
  <phoneticPr fontId="86" type="noConversion"/>
  <pageMargins left="0.70866141732283472" right="0.48" top="0.74803149606299213" bottom="0.74803149606299213" header="0.31496062992125984" footer="0.31496062992125984"/>
  <pageSetup paperSize="9" scale="84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2">
    <tabColor rgb="FFFFFF00"/>
  </sheetPr>
  <dimension ref="A1:W60"/>
  <sheetViews>
    <sheetView showGridLines="0" zoomScaleNormal="100" workbookViewId="0">
      <pane xSplit="2" ySplit="11" topLeftCell="C12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0" customHeight="1" zeroHeight="1"/>
  <cols>
    <col min="1" max="1" width="5.42578125" style="272" customWidth="1"/>
    <col min="2" max="2" width="32.5703125" style="275" customWidth="1"/>
    <col min="3" max="3" width="11.42578125" style="278" customWidth="1"/>
    <col min="4" max="4" width="9.140625" style="278" customWidth="1"/>
    <col min="5" max="7" width="8.5703125" style="278" customWidth="1"/>
    <col min="8" max="8" width="10" style="278" customWidth="1"/>
    <col min="9" max="9" width="9.5703125" style="278" customWidth="1"/>
    <col min="10" max="10" width="10" style="278" customWidth="1"/>
    <col min="11" max="11" width="9.5703125" style="278" customWidth="1"/>
    <col min="12" max="12" width="10.140625" style="278" customWidth="1"/>
    <col min="13" max="14" width="11.28515625" style="278" customWidth="1"/>
    <col min="15" max="15" width="8" style="276" customWidth="1"/>
    <col min="16" max="16" width="2.5703125" style="272" customWidth="1"/>
    <col min="17" max="17" width="8.140625" style="277" customWidth="1"/>
    <col min="18" max="18" width="18.5703125" style="272" customWidth="1"/>
    <col min="19" max="19" width="4.140625" style="272" customWidth="1"/>
    <col min="20" max="20" width="14.5703125" style="272" customWidth="1"/>
    <col min="21" max="21" width="9.140625" style="272" customWidth="1"/>
    <col min="22" max="22" width="9.140625" style="271" customWidth="1"/>
    <col min="23" max="16384" width="0" style="271" hidden="1"/>
  </cols>
  <sheetData>
    <row r="1" spans="1:23" ht="21.75">
      <c r="A1" s="132" t="str">
        <f>"Specificering vård och omsorg om äldre och personer med funktionsnedsättning "&amp;År&amp;", miljoner kronor"</f>
        <v>Specificering vård och omsorg om äldre och personer med funktionsnedsättning 2021, miljoner kronor</v>
      </c>
      <c r="B1" s="133"/>
      <c r="C1" s="133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520" t="s">
        <v>457</v>
      </c>
      <c r="P1" s="521" t="str">
        <f>Information!A2</f>
        <v>RIKSTOTAL</v>
      </c>
      <c r="Q1" s="270"/>
      <c r="R1" s="269"/>
      <c r="S1" s="269"/>
      <c r="T1" s="269"/>
      <c r="U1" s="269"/>
    </row>
    <row r="2" spans="1:23" ht="12.75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7"/>
      <c r="P2" s="2197"/>
      <c r="Q2" s="2197"/>
      <c r="R2" s="2197"/>
      <c r="S2" s="2197"/>
      <c r="T2" s="2197"/>
      <c r="U2" s="2197"/>
      <c r="V2" s="2197"/>
    </row>
    <row r="3" spans="1:23" ht="12.75" customHeight="1" thickBo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  <c r="T3" s="2197"/>
      <c r="U3" s="2197"/>
      <c r="V3" s="2197"/>
    </row>
    <row r="4" spans="1:23" ht="12.75">
      <c r="A4" s="1122" t="s">
        <v>622</v>
      </c>
      <c r="B4" s="1123" t="s">
        <v>15</v>
      </c>
      <c r="C4" s="1540" t="s">
        <v>950</v>
      </c>
      <c r="D4" s="1540"/>
      <c r="E4" s="1755"/>
      <c r="F4" s="1356" t="s">
        <v>39</v>
      </c>
      <c r="G4" s="1125"/>
      <c r="H4" s="1125"/>
      <c r="I4" s="1124"/>
      <c r="J4" s="1358" t="s">
        <v>40</v>
      </c>
      <c r="K4" s="1357" t="s">
        <v>948</v>
      </c>
      <c r="L4" s="1928" t="s">
        <v>1028</v>
      </c>
      <c r="M4" s="1598" t="s">
        <v>957</v>
      </c>
      <c r="N4" s="1595"/>
      <c r="O4" s="2587" t="str">
        <f>"Förändring kostnader för eget åtagande "&amp;År-1&amp;"-"&amp;År&amp;" procent"</f>
        <v>Förändring kostnader för eget åtagande 2020-2021 procent</v>
      </c>
      <c r="P4" s="2197"/>
      <c r="Q4" s="2383"/>
      <c r="R4" s="2400"/>
      <c r="S4" s="2197"/>
      <c r="T4" s="2197"/>
      <c r="U4" s="2197"/>
      <c r="V4" s="2197"/>
      <c r="W4" s="272"/>
    </row>
    <row r="5" spans="1:23" ht="12.75" customHeight="1">
      <c r="A5" s="1127" t="s">
        <v>625</v>
      </c>
      <c r="B5" s="1128"/>
      <c r="C5" s="1310" t="s">
        <v>43</v>
      </c>
      <c r="D5" s="1310"/>
      <c r="E5" s="1749"/>
      <c r="F5" s="1129"/>
      <c r="G5" s="2412"/>
      <c r="H5" s="1130"/>
      <c r="I5" s="1131"/>
      <c r="J5" s="1359" t="s">
        <v>42</v>
      </c>
      <c r="K5" s="1613" t="s">
        <v>964</v>
      </c>
      <c r="L5" s="1929" t="s">
        <v>44</v>
      </c>
      <c r="M5" s="1597" t="s">
        <v>956</v>
      </c>
      <c r="N5" s="1596"/>
      <c r="O5" s="2588"/>
      <c r="P5" s="2197"/>
      <c r="Q5" s="2384"/>
      <c r="R5" s="2401"/>
      <c r="S5" s="2197"/>
      <c r="T5" s="2197"/>
      <c r="U5" s="2197"/>
      <c r="V5" s="2197"/>
      <c r="W5" s="272"/>
    </row>
    <row r="6" spans="1:23" ht="33.75" customHeight="1">
      <c r="A6" s="1134"/>
      <c r="B6" s="1135"/>
      <c r="C6" s="1571"/>
      <c r="D6" s="2614" t="s">
        <v>1027</v>
      </c>
      <c r="E6" s="2614" t="s">
        <v>1063</v>
      </c>
      <c r="F6" s="2605" t="s">
        <v>692</v>
      </c>
      <c r="G6" s="2607" t="s">
        <v>833</v>
      </c>
      <c r="H6" s="2609" t="s">
        <v>467</v>
      </c>
      <c r="I6" s="2616" t="s">
        <v>1118</v>
      </c>
      <c r="J6" s="1749"/>
      <c r="K6" s="1612" t="s">
        <v>963</v>
      </c>
      <c r="L6" s="1756"/>
      <c r="M6" s="1881"/>
      <c r="N6" s="1609"/>
      <c r="O6" s="2588"/>
      <c r="P6" s="2197"/>
      <c r="Q6" s="2589" t="str">
        <f>"Nämnare nyckeltal"</f>
        <v>Nämnare nyckeltal</v>
      </c>
      <c r="R6" s="2590"/>
      <c r="S6" s="2197"/>
      <c r="T6" s="2197"/>
      <c r="U6" s="2197"/>
      <c r="V6" s="2197"/>
      <c r="W6" s="272"/>
    </row>
    <row r="7" spans="1:23" ht="21" customHeight="1">
      <c r="A7" s="1137"/>
      <c r="B7" s="1135"/>
      <c r="C7" s="1310"/>
      <c r="D7" s="2618"/>
      <c r="E7" s="2615"/>
      <c r="F7" s="2606"/>
      <c r="G7" s="2608"/>
      <c r="H7" s="2610"/>
      <c r="I7" s="2617"/>
      <c r="J7" s="1749"/>
      <c r="K7" s="1601" t="s">
        <v>958</v>
      </c>
      <c r="L7" s="1762" t="s">
        <v>954</v>
      </c>
      <c r="M7" s="1763" t="s">
        <v>962</v>
      </c>
      <c r="N7" s="1608" t="s">
        <v>962</v>
      </c>
      <c r="O7" s="2373"/>
      <c r="P7" s="2197"/>
      <c r="Q7" s="2591"/>
      <c r="R7" s="2590"/>
      <c r="S7" s="2197"/>
      <c r="T7" s="2197"/>
      <c r="U7" s="2197"/>
      <c r="V7" s="2197"/>
      <c r="W7" s="272"/>
    </row>
    <row r="8" spans="1:23" ht="12.75">
      <c r="A8" s="1137"/>
      <c r="B8" s="1138"/>
      <c r="C8" s="1132"/>
      <c r="D8" s="1749"/>
      <c r="E8" s="1570"/>
      <c r="F8" s="1136"/>
      <c r="G8" s="1911"/>
      <c r="H8" s="1911"/>
      <c r="I8" s="1362"/>
      <c r="J8" s="1749"/>
      <c r="K8" s="1309" t="s">
        <v>1119</v>
      </c>
      <c r="L8" s="1764"/>
      <c r="M8" s="1765">
        <f>År</f>
        <v>2021</v>
      </c>
      <c r="N8" s="1600">
        <f>År-1</f>
        <v>2020</v>
      </c>
      <c r="O8" s="2374"/>
      <c r="P8" s="2197"/>
      <c r="Q8" s="2385"/>
      <c r="R8" s="2402"/>
      <c r="S8" s="2197"/>
      <c r="T8" s="2197"/>
      <c r="U8" s="2197"/>
      <c r="V8" s="2197"/>
      <c r="W8" s="272"/>
    </row>
    <row r="9" spans="1:23" ht="20.25" customHeight="1">
      <c r="A9" s="1137"/>
      <c r="B9" s="1135"/>
      <c r="C9" s="1132"/>
      <c r="D9" s="2619" t="s">
        <v>1143</v>
      </c>
      <c r="E9" s="1583" t="s">
        <v>810</v>
      </c>
      <c r="F9" s="1582" t="s">
        <v>843</v>
      </c>
      <c r="G9" s="1581" t="s">
        <v>47</v>
      </c>
      <c r="H9" s="2611" t="s">
        <v>832</v>
      </c>
      <c r="I9" s="2141" t="s">
        <v>1121</v>
      </c>
      <c r="J9" s="1133"/>
      <c r="K9" s="2032" t="s">
        <v>1120</v>
      </c>
      <c r="L9" s="1912"/>
      <c r="M9" s="1766"/>
      <c r="N9" s="1599"/>
      <c r="O9" s="2374"/>
      <c r="P9" s="2197"/>
      <c r="Q9" s="2386"/>
      <c r="R9" s="2403"/>
      <c r="S9" s="2197"/>
      <c r="T9" s="2197"/>
      <c r="U9" s="2197"/>
      <c r="V9" s="2197"/>
      <c r="W9" s="272"/>
    </row>
    <row r="10" spans="1:23" ht="12.75" customHeight="1">
      <c r="A10" s="1137"/>
      <c r="B10" s="1141"/>
      <c r="C10" s="1132"/>
      <c r="D10" s="2620"/>
      <c r="E10" s="1570"/>
      <c r="F10" s="1372"/>
      <c r="G10" s="1584"/>
      <c r="H10" s="2612"/>
      <c r="I10" s="1573"/>
      <c r="J10" s="1133"/>
      <c r="K10" s="1309" t="s">
        <v>1116</v>
      </c>
      <c r="L10" s="1757"/>
      <c r="M10" s="1610"/>
      <c r="N10" s="1611"/>
      <c r="O10" s="2375"/>
      <c r="P10" s="2197"/>
      <c r="Q10" s="2387"/>
      <c r="R10" s="2404"/>
      <c r="S10" s="2197"/>
      <c r="T10" s="2197"/>
      <c r="U10" s="2197"/>
      <c r="V10" s="2197"/>
      <c r="W10" s="272"/>
    </row>
    <row r="11" spans="1:23" ht="12.75">
      <c r="A11" s="1142"/>
      <c r="B11" s="1373"/>
      <c r="C11" s="1143"/>
      <c r="D11" s="1750"/>
      <c r="E11" s="1572"/>
      <c r="F11" s="1372"/>
      <c r="G11" s="1585"/>
      <c r="H11" s="2613"/>
      <c r="I11" s="1574"/>
      <c r="J11" s="1145"/>
      <c r="K11" s="2055" t="s">
        <v>1117</v>
      </c>
      <c r="L11" s="1758"/>
      <c r="M11" s="1753"/>
      <c r="N11" s="1754"/>
      <c r="O11" s="2376"/>
      <c r="P11" s="2197"/>
      <c r="Q11" s="2388"/>
      <c r="R11" s="2376"/>
      <c r="S11" s="2197"/>
      <c r="T11" s="2197"/>
      <c r="U11" s="2197"/>
      <c r="V11" s="2197"/>
      <c r="W11" s="272"/>
    </row>
    <row r="12" spans="1:23" ht="12.75">
      <c r="A12" s="1146">
        <v>510</v>
      </c>
      <c r="B12" s="1147" t="s">
        <v>487</v>
      </c>
      <c r="C12" s="338">
        <f>Drift!P73</f>
        <v>154062.82</v>
      </c>
      <c r="D12" s="338">
        <f>SUM(Drift!C73:D73)</f>
        <v>84971.929000000004</v>
      </c>
      <c r="E12" s="338">
        <f>Drift!F73</f>
        <v>21829.584999999999</v>
      </c>
      <c r="F12" s="338">
        <f>Drift!R73</f>
        <v>5491.2290000000003</v>
      </c>
      <c r="G12" s="338">
        <f>Drift!S73</f>
        <v>4360.8559999999998</v>
      </c>
      <c r="H12" s="338">
        <f>Drift!T73</f>
        <v>10763.02</v>
      </c>
      <c r="I12" s="338">
        <f>Motpart!Y27+Motpart!Z27</f>
        <v>368.904</v>
      </c>
      <c r="J12" s="338">
        <f>Drift!V73</f>
        <v>14896.084000000001</v>
      </c>
      <c r="K12" s="1163">
        <f t="shared" ref="K12:K18" si="0">C12-I12-J12</f>
        <v>138797.83199999999</v>
      </c>
      <c r="L12" s="1748">
        <f t="shared" ref="L12:L18" si="1">C12-SUM(F12:H12,J12)</f>
        <v>118551.63100000001</v>
      </c>
      <c r="M12" s="1760">
        <f>IF(C12&gt;0,K12*1000000/Q12,"")</f>
        <v>65508.806541165941</v>
      </c>
      <c r="N12" s="1761">
        <v>64781.642</v>
      </c>
      <c r="O12" s="2377"/>
      <c r="P12" s="2197"/>
      <c r="Q12" s="2389">
        <v>2118766</v>
      </c>
      <c r="R12" s="2405" t="s">
        <v>1056</v>
      </c>
      <c r="S12" s="2197"/>
      <c r="T12" s="2197"/>
      <c r="U12" s="2197"/>
      <c r="V12" s="2197"/>
      <c r="W12" s="273"/>
    </row>
    <row r="13" spans="1:23" ht="13.5" customHeight="1">
      <c r="A13" s="1148">
        <v>5101</v>
      </c>
      <c r="B13" s="1149" t="s">
        <v>444</v>
      </c>
      <c r="C13" s="134">
        <v>54931.173000000003</v>
      </c>
      <c r="D13" s="134">
        <v>32970.533000000003</v>
      </c>
      <c r="E13" s="134">
        <v>7389.88</v>
      </c>
      <c r="F13" s="134">
        <v>2676.67</v>
      </c>
      <c r="G13" s="1176"/>
      <c r="H13" s="134">
        <v>3274.904</v>
      </c>
      <c r="I13" s="134">
        <v>157.1</v>
      </c>
      <c r="J13" s="134">
        <v>5860.2569999999996</v>
      </c>
      <c r="K13" s="1164">
        <f t="shared" si="0"/>
        <v>48913.816000000006</v>
      </c>
      <c r="L13" s="1751">
        <f t="shared" si="1"/>
        <v>43119.342000000004</v>
      </c>
      <c r="M13" s="1165">
        <f>IF(C13&gt;0,K13*1000000/Q12,"")</f>
        <v>23085.992506959243</v>
      </c>
      <c r="N13" s="1165">
        <v>22643.927</v>
      </c>
      <c r="O13" s="2378">
        <f>IF(ISERROR((M13-N13)/N13),"",((M13-N13)/N13))</f>
        <v>1.9522475362124384E-2</v>
      </c>
      <c r="P13" s="2197"/>
      <c r="Q13" s="2390"/>
      <c r="R13" s="2406"/>
      <c r="S13" s="2197"/>
      <c r="T13" s="2197"/>
      <c r="U13" s="2197"/>
      <c r="V13" s="2197"/>
      <c r="W13" s="273"/>
    </row>
    <row r="14" spans="1:23" ht="13.5" customHeight="1">
      <c r="A14" s="1148">
        <v>5103</v>
      </c>
      <c r="B14" s="1149" t="s">
        <v>757</v>
      </c>
      <c r="C14" s="279">
        <v>7713.8059999999996</v>
      </c>
      <c r="D14" s="134">
        <v>4566.4210000000003</v>
      </c>
      <c r="E14" s="134">
        <v>587.46500000000003</v>
      </c>
      <c r="F14" s="134">
        <v>230.71100000000001</v>
      </c>
      <c r="G14" s="134">
        <v>48.249000000000002</v>
      </c>
      <c r="H14" s="134">
        <v>449.73</v>
      </c>
      <c r="I14" s="134">
        <v>41.984999999999999</v>
      </c>
      <c r="J14" s="134">
        <v>846.48199999999997</v>
      </c>
      <c r="K14" s="1164">
        <f t="shared" si="0"/>
        <v>6825.3389999999999</v>
      </c>
      <c r="L14" s="1751">
        <f t="shared" si="1"/>
        <v>6138.634</v>
      </c>
      <c r="M14" s="1165">
        <f>IF(C14&gt;0,K14*1000000/Q12,"")</f>
        <v>3221.374611448362</v>
      </c>
      <c r="N14" s="1166">
        <v>3213.192</v>
      </c>
      <c r="O14" s="2378">
        <f>IF(ISERROR((M14-N14)/N14),"",((M14-N14)/N14))</f>
        <v>2.5465678516447096E-3</v>
      </c>
      <c r="P14" s="2197"/>
      <c r="Q14" s="2391"/>
      <c r="R14" s="2592" t="str">
        <f>"För minst en delv-ht inom v-het 510 redovisades kostnader föregående år men inte i år. Har kommunen inte verksamheten(-erna)? Lämna förklarande kommentar"</f>
        <v>För minst en delv-ht inom v-het 510 redovisades kostnader föregående år men inte i år. Har kommunen inte verksamheten(-erna)? Lämna förklarande kommentar</v>
      </c>
      <c r="S14" s="2197"/>
      <c r="T14" s="2197"/>
      <c r="U14" s="2197"/>
      <c r="V14" s="2197"/>
      <c r="W14" s="273"/>
    </row>
    <row r="15" spans="1:23" ht="13.5" customHeight="1">
      <c r="A15" s="1148">
        <v>5104</v>
      </c>
      <c r="B15" s="1149" t="s">
        <v>445</v>
      </c>
      <c r="C15" s="279">
        <v>1412.425</v>
      </c>
      <c r="D15" s="134">
        <v>795.78099999999995</v>
      </c>
      <c r="E15" s="134">
        <v>94.515000000000001</v>
      </c>
      <c r="F15" s="134">
        <v>30.241</v>
      </c>
      <c r="G15" s="1176"/>
      <c r="H15" s="134">
        <v>95.531999999999996</v>
      </c>
      <c r="I15" s="134">
        <v>0.83899999999999997</v>
      </c>
      <c r="J15" s="279">
        <v>136.75899999999999</v>
      </c>
      <c r="K15" s="1164">
        <f t="shared" si="0"/>
        <v>1274.827</v>
      </c>
      <c r="L15" s="1751">
        <f t="shared" si="1"/>
        <v>1149.893</v>
      </c>
      <c r="M15" s="1165">
        <f>IF(C15&gt;0,K15*1000000/Q12,"")</f>
        <v>601.68371589878257</v>
      </c>
      <c r="N15" s="1166">
        <v>569.74</v>
      </c>
      <c r="O15" s="2378">
        <f>IF(ISERROR((M15-N15)/N15),"",((M15-N15)/N15))</f>
        <v>5.6067181343740224E-2</v>
      </c>
      <c r="P15" s="2197"/>
      <c r="Q15" s="2391"/>
      <c r="R15" s="2593"/>
      <c r="S15" s="2197"/>
      <c r="T15" s="2197"/>
      <c r="U15" s="2197"/>
      <c r="V15" s="2197"/>
      <c r="W15" s="273"/>
    </row>
    <row r="16" spans="1:23" ht="13.5" customHeight="1">
      <c r="A16" s="1148">
        <v>5105</v>
      </c>
      <c r="B16" s="1149" t="s">
        <v>478</v>
      </c>
      <c r="C16" s="279">
        <v>86721.911999999997</v>
      </c>
      <c r="D16" s="134">
        <v>45426.508000000002</v>
      </c>
      <c r="E16" s="280">
        <v>13642.364</v>
      </c>
      <c r="F16" s="280">
        <v>2506.7950000000001</v>
      </c>
      <c r="G16" s="280">
        <v>4195.1090000000004</v>
      </c>
      <c r="H16" s="280">
        <v>6657.5290000000005</v>
      </c>
      <c r="I16" s="280">
        <v>156.83000000000001</v>
      </c>
      <c r="J16" s="280">
        <v>7815.5510000000004</v>
      </c>
      <c r="K16" s="1164">
        <f t="shared" si="0"/>
        <v>78749.530999999988</v>
      </c>
      <c r="L16" s="1751">
        <f t="shared" si="1"/>
        <v>65546.928</v>
      </c>
      <c r="M16" s="1165">
        <f>IF(C16&gt;0,K16*1000000/Q12,"")</f>
        <v>37167.639560008036</v>
      </c>
      <c r="N16" s="1167">
        <v>36901.055999999997</v>
      </c>
      <c r="O16" s="2378">
        <f>IF(ISERROR((M16-N16)/N16),"",((M16-N16)/N16))</f>
        <v>7.224279977462951E-3</v>
      </c>
      <c r="P16" s="2197"/>
      <c r="Q16" s="2391"/>
      <c r="R16" s="2593"/>
      <c r="S16" s="2197"/>
      <c r="T16" s="2197"/>
      <c r="U16" s="2197"/>
      <c r="V16" s="2197"/>
      <c r="W16" s="273"/>
    </row>
    <row r="17" spans="1:23" ht="13.5" customHeight="1">
      <c r="A17" s="1148">
        <v>5106</v>
      </c>
      <c r="B17" s="1150" t="s">
        <v>103</v>
      </c>
      <c r="C17" s="279">
        <v>1601.415</v>
      </c>
      <c r="D17" s="134">
        <v>721.27700000000004</v>
      </c>
      <c r="E17" s="134">
        <v>40.747</v>
      </c>
      <c r="F17" s="134">
        <v>29.648</v>
      </c>
      <c r="G17" s="134">
        <v>17.835999999999999</v>
      </c>
      <c r="H17" s="134">
        <v>164.691</v>
      </c>
      <c r="I17" s="134">
        <v>2.5409999999999999</v>
      </c>
      <c r="J17" s="134">
        <v>154.13399999999999</v>
      </c>
      <c r="K17" s="1164">
        <f t="shared" si="0"/>
        <v>1444.74</v>
      </c>
      <c r="L17" s="1751">
        <f t="shared" si="1"/>
        <v>1235.106</v>
      </c>
      <c r="M17" s="1165">
        <f>IF(C17&gt;0,K17*1000000/Q12,"")</f>
        <v>681.87803655524021</v>
      </c>
      <c r="N17" s="1165">
        <v>729.26099999999997</v>
      </c>
      <c r="O17" s="2378">
        <f>IF(ISERROR((M17-N17)/N17),"",((M17-N17)/N17))</f>
        <v>-6.4973944095131589E-2</v>
      </c>
      <c r="P17" s="2197"/>
      <c r="Q17" s="2391"/>
      <c r="R17" s="2593"/>
      <c r="S17" s="2197"/>
      <c r="T17" s="2197"/>
      <c r="U17" s="2197"/>
      <c r="V17" s="2197"/>
      <c r="W17" s="273"/>
    </row>
    <row r="18" spans="1:23" ht="13.5" customHeight="1">
      <c r="A18" s="1148">
        <v>5109</v>
      </c>
      <c r="B18" s="1149" t="s">
        <v>367</v>
      </c>
      <c r="C18" s="279">
        <v>1682.088</v>
      </c>
      <c r="D18" s="134">
        <v>491.43</v>
      </c>
      <c r="E18" s="134">
        <v>74.61</v>
      </c>
      <c r="F18" s="134">
        <v>17.157</v>
      </c>
      <c r="G18" s="134">
        <v>99.665000000000006</v>
      </c>
      <c r="H18" s="134">
        <v>120.63500000000001</v>
      </c>
      <c r="I18" s="134">
        <v>9.6069999999999993</v>
      </c>
      <c r="J18" s="134">
        <v>82.896000000000001</v>
      </c>
      <c r="K18" s="1164">
        <f t="shared" si="0"/>
        <v>1589.585</v>
      </c>
      <c r="L18" s="1751">
        <f t="shared" si="1"/>
        <v>1361.7349999999999</v>
      </c>
      <c r="M18" s="1168"/>
      <c r="N18" s="1168"/>
      <c r="O18" s="2379"/>
      <c r="P18" s="2197"/>
      <c r="Q18" s="2391"/>
      <c r="R18" s="2593"/>
      <c r="S18" s="2197"/>
      <c r="T18" s="2197"/>
      <c r="U18" s="2197"/>
      <c r="V18" s="2197"/>
      <c r="W18" s="273"/>
    </row>
    <row r="19" spans="1:23" ht="12.75">
      <c r="A19" s="1151">
        <v>51099</v>
      </c>
      <c r="B19" s="1152" t="s">
        <v>158</v>
      </c>
      <c r="C19" s="322">
        <f>SUM(C13:C18)</f>
        <v>154062.81899999999</v>
      </c>
      <c r="D19" s="322">
        <f>SUM(D13:D18)</f>
        <v>84971.950000000012</v>
      </c>
      <c r="E19" s="322">
        <f t="shared" ref="E19:J19" si="2">SUM(E13:E18)</f>
        <v>21829.581000000002</v>
      </c>
      <c r="F19" s="322">
        <f t="shared" si="2"/>
        <v>5491.2220000000007</v>
      </c>
      <c r="G19" s="322">
        <f t="shared" si="2"/>
        <v>4360.8590000000004</v>
      </c>
      <c r="H19" s="322">
        <f>SUM(H13:H18)</f>
        <v>10763.021000000001</v>
      </c>
      <c r="I19" s="322">
        <f t="shared" si="2"/>
        <v>368.90200000000004</v>
      </c>
      <c r="J19" s="322">
        <f t="shared" si="2"/>
        <v>14896.079</v>
      </c>
      <c r="K19" s="1169"/>
      <c r="L19" s="1759"/>
      <c r="M19" s="1170"/>
      <c r="N19" s="1170"/>
      <c r="O19" s="2380"/>
      <c r="P19" s="2197"/>
      <c r="Q19" s="2391"/>
      <c r="R19" s="2593"/>
      <c r="S19" s="2197"/>
      <c r="T19" s="2197"/>
      <c r="U19" s="2197"/>
      <c r="V19" s="2197"/>
      <c r="W19" s="273"/>
    </row>
    <row r="20" spans="1:23" ht="13.5" thickBot="1">
      <c r="A20" s="1153"/>
      <c r="B20" s="1685"/>
      <c r="C20" s="323"/>
      <c r="D20" s="323"/>
      <c r="E20" s="323"/>
      <c r="F20" s="323"/>
      <c r="G20" s="323"/>
      <c r="H20" s="323"/>
      <c r="I20" s="323"/>
      <c r="J20" s="323"/>
      <c r="K20" s="1171"/>
      <c r="L20" s="1768"/>
      <c r="M20" s="1172"/>
      <c r="N20" s="1172"/>
      <c r="O20" s="2381"/>
      <c r="P20" s="2197"/>
      <c r="Q20" s="2392"/>
      <c r="R20" s="2407"/>
      <c r="S20" s="2197"/>
      <c r="T20" s="2197"/>
      <c r="U20" s="2197"/>
      <c r="V20" s="2197"/>
      <c r="W20" s="273"/>
    </row>
    <row r="21" spans="1:23" ht="22.5" customHeight="1">
      <c r="A21" s="1154">
        <v>520</v>
      </c>
      <c r="B21" s="1155" t="s">
        <v>112</v>
      </c>
      <c r="C21" s="339">
        <f>Drift!P74</f>
        <v>16830.347999999998</v>
      </c>
      <c r="D21" s="338">
        <f>SUM(Drift!C74:D74)</f>
        <v>8598.4520000000011</v>
      </c>
      <c r="E21" s="339">
        <f>Drift!F74</f>
        <v>3571.1239999999998</v>
      </c>
      <c r="F21" s="339">
        <f>Drift!R74</f>
        <v>287.91300000000001</v>
      </c>
      <c r="G21" s="339">
        <f>Drift!S74</f>
        <v>327.69900000000001</v>
      </c>
      <c r="H21" s="339">
        <f>Drift!T74</f>
        <v>1056.6980000000001</v>
      </c>
      <c r="I21" s="339">
        <f>Motpart!Y28+Motpart!Z28</f>
        <v>45.872</v>
      </c>
      <c r="J21" s="339">
        <f>Drift!V74</f>
        <v>1324.6769999999999</v>
      </c>
      <c r="K21" s="1173">
        <f t="shared" ref="K21:K28" si="3">C21-I21-J21</f>
        <v>15459.798999999999</v>
      </c>
      <c r="L21" s="1173">
        <f t="shared" ref="L21:L28" si="4">C21-SUM(F21:H21,J21)</f>
        <v>13833.360999999997</v>
      </c>
      <c r="M21" s="1174">
        <f>IF(C21&gt;0,K21*1000000/Q21,"")</f>
        <v>1855.12542058856</v>
      </c>
      <c r="N21" s="1174">
        <v>1820.6220000000001</v>
      </c>
      <c r="O21" s="2382"/>
      <c r="P21" s="2197"/>
      <c r="Q21" s="2393">
        <v>8333560</v>
      </c>
      <c r="R21" s="2408" t="s">
        <v>1057</v>
      </c>
      <c r="S21" s="2197"/>
      <c r="T21" s="2197"/>
      <c r="U21" s="2197"/>
      <c r="V21" s="2197"/>
      <c r="W21" s="273"/>
    </row>
    <row r="22" spans="1:23" ht="12.75">
      <c r="A22" s="1148">
        <v>5201</v>
      </c>
      <c r="B22" s="1149" t="s">
        <v>446</v>
      </c>
      <c r="C22" s="134">
        <v>4567.4390000000003</v>
      </c>
      <c r="D22" s="134">
        <v>2483.2339999999999</v>
      </c>
      <c r="E22" s="134">
        <v>791.63900000000001</v>
      </c>
      <c r="F22" s="134">
        <v>153.41300000000001</v>
      </c>
      <c r="G22" s="1176"/>
      <c r="H22" s="134">
        <v>252.95099999999999</v>
      </c>
      <c r="I22" s="134">
        <v>8.3490000000000002</v>
      </c>
      <c r="J22" s="134">
        <v>418.75900000000001</v>
      </c>
      <c r="K22" s="1175">
        <f t="shared" si="3"/>
        <v>4140.3310000000001</v>
      </c>
      <c r="L22" s="1751">
        <f t="shared" si="4"/>
        <v>3742.3160000000003</v>
      </c>
      <c r="M22" s="1166">
        <f>IF(C22&gt;0,K22*1000000/Q21,"")</f>
        <v>496.82620632718789</v>
      </c>
      <c r="N22" s="1166">
        <v>484.928</v>
      </c>
      <c r="O22" s="2378">
        <f t="shared" ref="O22:O27" si="5">IF(ISERROR((M22-N22)/N22),"",((M22-N22)/N22))</f>
        <v>2.4536026641455832E-2</v>
      </c>
      <c r="P22" s="2197"/>
      <c r="Q22" s="2390"/>
      <c r="R22" s="2409"/>
      <c r="S22" s="2197"/>
      <c r="T22" s="2197"/>
      <c r="U22" s="2197"/>
      <c r="V22" s="2197"/>
      <c r="W22" s="273"/>
    </row>
    <row r="23" spans="1:23" ht="12.75">
      <c r="A23" s="1148">
        <v>5202</v>
      </c>
      <c r="B23" s="1149" t="s">
        <v>447</v>
      </c>
      <c r="C23" s="279">
        <v>2782.2379999999998</v>
      </c>
      <c r="D23" s="134">
        <v>1951.635</v>
      </c>
      <c r="E23" s="134">
        <v>253.7</v>
      </c>
      <c r="F23" s="134">
        <v>16.971</v>
      </c>
      <c r="G23" s="1176"/>
      <c r="H23" s="134">
        <v>84.361000000000004</v>
      </c>
      <c r="I23" s="134">
        <v>3.145</v>
      </c>
      <c r="J23" s="134">
        <v>215.27500000000001</v>
      </c>
      <c r="K23" s="1175">
        <f t="shared" si="3"/>
        <v>2563.8179999999998</v>
      </c>
      <c r="L23" s="1751">
        <f t="shared" si="4"/>
        <v>2465.6309999999999</v>
      </c>
      <c r="M23" s="1166">
        <f>IF(C23&gt;0,K23*1000000/Q21,"")</f>
        <v>307.64979192565954</v>
      </c>
      <c r="N23" s="1166">
        <v>308.24</v>
      </c>
      <c r="O23" s="2378">
        <f t="shared" si="5"/>
        <v>-1.9147679546472447E-3</v>
      </c>
      <c r="P23" s="2197"/>
      <c r="Q23" s="2394"/>
      <c r="R23" s="2594" t="str">
        <f>"För minst en delv-ht inom v-het 520 redovisades kostnader föregående år men inte i år. Har kommunen inte verksamheten(-erna)? Lämna förklarande kommentar"</f>
        <v>För minst en delv-ht inom v-het 520 redovisades kostnader föregående år men inte i år. Har kommunen inte verksamheten(-erna)? Lämna förklarande kommentar</v>
      </c>
      <c r="S23" s="2197"/>
      <c r="T23" s="2197"/>
      <c r="U23" s="2197"/>
      <c r="V23" s="2197"/>
      <c r="W23" s="273"/>
    </row>
    <row r="24" spans="1:23" ht="12.75">
      <c r="A24" s="1148">
        <v>5203</v>
      </c>
      <c r="B24" s="1149" t="s">
        <v>757</v>
      </c>
      <c r="C24" s="279">
        <v>786.86800000000005</v>
      </c>
      <c r="D24" s="134">
        <v>294.3</v>
      </c>
      <c r="E24" s="134">
        <v>314.58</v>
      </c>
      <c r="F24" s="134">
        <v>13.446999999999999</v>
      </c>
      <c r="G24" s="134">
        <v>4.9370000000000003</v>
      </c>
      <c r="H24" s="134">
        <v>41.664000000000001</v>
      </c>
      <c r="I24" s="134">
        <v>1.0720000000000001</v>
      </c>
      <c r="J24" s="279">
        <v>35.582999999999998</v>
      </c>
      <c r="K24" s="1175">
        <f t="shared" si="3"/>
        <v>750.21300000000008</v>
      </c>
      <c r="L24" s="1751">
        <f t="shared" si="4"/>
        <v>691.23700000000008</v>
      </c>
      <c r="M24" s="1166">
        <f>IF(C24&gt;0,K24*1000000/Q21,"")</f>
        <v>90.023111371370717</v>
      </c>
      <c r="N24" s="1166">
        <v>85.046999999999997</v>
      </c>
      <c r="O24" s="2378">
        <f t="shared" si="5"/>
        <v>5.8510134059646085E-2</v>
      </c>
      <c r="P24" s="2197"/>
      <c r="Q24" s="2395"/>
      <c r="R24" s="2595"/>
      <c r="S24" s="2197"/>
      <c r="T24" s="2197"/>
      <c r="U24" s="2197"/>
      <c r="V24" s="2197"/>
      <c r="W24" s="273"/>
    </row>
    <row r="25" spans="1:23" ht="12.75">
      <c r="A25" s="1940">
        <v>5204</v>
      </c>
      <c r="B25" s="1149" t="s">
        <v>1029</v>
      </c>
      <c r="C25" s="134">
        <v>533.09</v>
      </c>
      <c r="D25" s="134">
        <v>319.72699999999998</v>
      </c>
      <c r="E25" s="134">
        <v>38.526000000000003</v>
      </c>
      <c r="F25" s="134">
        <v>1.0649999999999999</v>
      </c>
      <c r="G25" s="1176"/>
      <c r="H25" s="134">
        <v>51.01</v>
      </c>
      <c r="I25" s="134">
        <v>5.21</v>
      </c>
      <c r="J25" s="134">
        <v>45.661000000000001</v>
      </c>
      <c r="K25" s="1175">
        <f t="shared" si="3"/>
        <v>482.21899999999999</v>
      </c>
      <c r="L25" s="1751">
        <f t="shared" si="4"/>
        <v>435.35400000000004</v>
      </c>
      <c r="M25" s="1166">
        <f>IF(C25&gt;0,K25*1000000/Q21,"")</f>
        <v>57.864706079994626</v>
      </c>
      <c r="N25" s="1166">
        <v>59.456000000000003</v>
      </c>
      <c r="O25" s="2378">
        <f t="shared" si="5"/>
        <v>-2.6764227664245441E-2</v>
      </c>
      <c r="P25" s="2197"/>
      <c r="Q25" s="2395"/>
      <c r="R25" s="2595"/>
      <c r="S25" s="2197"/>
      <c r="T25" s="2197"/>
      <c r="U25" s="2197"/>
      <c r="V25" s="2197"/>
      <c r="W25" s="273"/>
    </row>
    <row r="26" spans="1:23" ht="12.75">
      <c r="A26" s="1148">
        <v>5205</v>
      </c>
      <c r="B26" s="1149" t="s">
        <v>478</v>
      </c>
      <c r="C26" s="134">
        <v>6394.5079999999998</v>
      </c>
      <c r="D26" s="134">
        <v>2809.4679999999998</v>
      </c>
      <c r="E26" s="134">
        <v>2014.251</v>
      </c>
      <c r="F26" s="134">
        <v>97.179000000000002</v>
      </c>
      <c r="G26" s="134">
        <v>268.976</v>
      </c>
      <c r="H26" s="134">
        <v>379.71199999999999</v>
      </c>
      <c r="I26" s="134">
        <v>12.55</v>
      </c>
      <c r="J26" s="134">
        <v>483.303</v>
      </c>
      <c r="K26" s="1175">
        <f t="shared" si="3"/>
        <v>5898.6549999999997</v>
      </c>
      <c r="L26" s="1751">
        <f t="shared" si="4"/>
        <v>5165.3379999999997</v>
      </c>
      <c r="M26" s="1166">
        <f>IF(C26&gt;0,K26*1000000/Q21,"")</f>
        <v>707.81934731375304</v>
      </c>
      <c r="N26" s="1166">
        <v>687.93600000000004</v>
      </c>
      <c r="O26" s="2378">
        <f t="shared" si="5"/>
        <v>2.890290276094434E-2</v>
      </c>
      <c r="P26" s="2197"/>
      <c r="Q26" s="2395"/>
      <c r="R26" s="2595"/>
      <c r="S26" s="2197"/>
      <c r="T26" s="2197"/>
      <c r="U26" s="2197"/>
      <c r="V26" s="2197"/>
      <c r="W26" s="273"/>
    </row>
    <row r="27" spans="1:23" ht="12.75">
      <c r="A27" s="1148">
        <v>5206</v>
      </c>
      <c r="B27" s="1149" t="s">
        <v>103</v>
      </c>
      <c r="C27" s="279">
        <v>794.34699999999998</v>
      </c>
      <c r="D27" s="134">
        <v>378.40899999999999</v>
      </c>
      <c r="E27" s="134">
        <v>35.866</v>
      </c>
      <c r="F27" s="134">
        <v>2.3959999999999999</v>
      </c>
      <c r="G27" s="134">
        <v>4.6840000000000002</v>
      </c>
      <c r="H27" s="134">
        <v>141.488</v>
      </c>
      <c r="I27" s="134">
        <v>5.0419999999999998</v>
      </c>
      <c r="J27" s="134">
        <v>74.262</v>
      </c>
      <c r="K27" s="1176">
        <f t="shared" si="3"/>
        <v>715.04299999999989</v>
      </c>
      <c r="L27" s="1751">
        <f t="shared" si="4"/>
        <v>571.51699999999994</v>
      </c>
      <c r="M27" s="1165">
        <f>IF(C27&gt;0,K27*1000000/Q21,"")</f>
        <v>85.802826163128344</v>
      </c>
      <c r="N27" s="1165">
        <v>88.944000000000003</v>
      </c>
      <c r="O27" s="2378">
        <f t="shared" si="5"/>
        <v>-3.5316309552883368E-2</v>
      </c>
      <c r="P27" s="2197"/>
      <c r="Q27" s="2395"/>
      <c r="R27" s="2595"/>
      <c r="S27" s="2197"/>
      <c r="T27" s="2197"/>
      <c r="U27" s="2197"/>
      <c r="V27" s="2197"/>
      <c r="W27" s="273"/>
    </row>
    <row r="28" spans="1:23" ht="12.75">
      <c r="A28" s="1148">
        <v>5209</v>
      </c>
      <c r="B28" s="1149" t="s">
        <v>367</v>
      </c>
      <c r="C28" s="279">
        <v>971.86800000000005</v>
      </c>
      <c r="D28" s="134">
        <v>361.685</v>
      </c>
      <c r="E28" s="134">
        <v>122.563</v>
      </c>
      <c r="F28" s="134">
        <v>3.44</v>
      </c>
      <c r="G28" s="134">
        <v>49.103000000000002</v>
      </c>
      <c r="H28" s="134">
        <v>105.497</v>
      </c>
      <c r="I28" s="134">
        <v>10.506</v>
      </c>
      <c r="J28" s="134">
        <v>51.817999999999998</v>
      </c>
      <c r="K28" s="1175">
        <f t="shared" si="3"/>
        <v>909.5440000000001</v>
      </c>
      <c r="L28" s="1751">
        <f t="shared" si="4"/>
        <v>762.01</v>
      </c>
      <c r="M28" s="1169"/>
      <c r="N28" s="1168"/>
      <c r="O28" s="2379"/>
      <c r="P28" s="2197"/>
      <c r="Q28" s="2395"/>
      <c r="R28" s="2595"/>
      <c r="S28" s="2197"/>
      <c r="T28" s="2197"/>
      <c r="U28" s="2197"/>
      <c r="V28" s="2197"/>
      <c r="W28" s="273"/>
    </row>
    <row r="29" spans="1:23" ht="21.75" customHeight="1">
      <c r="A29" s="1151">
        <v>52099</v>
      </c>
      <c r="B29" s="1156" t="s">
        <v>615</v>
      </c>
      <c r="C29" s="135">
        <f>SUM(C22:C28)</f>
        <v>16830.358</v>
      </c>
      <c r="D29" s="135">
        <f>SUM(D22:D28)</f>
        <v>8598.4579999999987</v>
      </c>
      <c r="E29" s="135">
        <f t="shared" ref="E29:J29" si="6">SUM(E22:E28)</f>
        <v>3571.125</v>
      </c>
      <c r="F29" s="135">
        <f t="shared" si="6"/>
        <v>287.91100000000006</v>
      </c>
      <c r="G29" s="135">
        <f t="shared" si="6"/>
        <v>327.70000000000005</v>
      </c>
      <c r="H29" s="135">
        <f t="shared" si="6"/>
        <v>1056.683</v>
      </c>
      <c r="I29" s="135">
        <f t="shared" si="6"/>
        <v>45.874000000000002</v>
      </c>
      <c r="J29" s="135">
        <f t="shared" si="6"/>
        <v>1324.6610000000001</v>
      </c>
      <c r="K29" s="1169"/>
      <c r="L29" s="1759"/>
      <c r="M29" s="1170"/>
      <c r="N29" s="1170"/>
      <c r="O29" s="2380"/>
      <c r="P29" s="2197"/>
      <c r="Q29" s="2390"/>
      <c r="R29" s="2595"/>
      <c r="S29" s="2197"/>
      <c r="T29" s="2197"/>
      <c r="U29" s="2197"/>
      <c r="V29" s="2197"/>
      <c r="W29" s="273"/>
    </row>
    <row r="30" spans="1:23" ht="13.5" thickBot="1">
      <c r="A30" s="1157"/>
      <c r="B30" s="1685"/>
      <c r="C30" s="321"/>
      <c r="D30" s="321"/>
      <c r="E30" s="321"/>
      <c r="F30" s="321"/>
      <c r="G30" s="321"/>
      <c r="H30" s="321"/>
      <c r="I30" s="321"/>
      <c r="J30" s="321"/>
      <c r="K30" s="1171"/>
      <c r="L30" s="1768"/>
      <c r="M30" s="1172"/>
      <c r="N30" s="1172"/>
      <c r="O30" s="2381"/>
      <c r="P30" s="2197"/>
      <c r="Q30" s="2392"/>
      <c r="R30" s="2407"/>
      <c r="S30" s="2197"/>
      <c r="T30" s="2197"/>
      <c r="U30" s="2197"/>
      <c r="V30" s="2197"/>
      <c r="W30" s="273"/>
    </row>
    <row r="31" spans="1:23" ht="12.75">
      <c r="A31" s="1158">
        <v>513</v>
      </c>
      <c r="B31" s="1159" t="s">
        <v>616</v>
      </c>
      <c r="C31" s="338">
        <f>Drift!P75</f>
        <v>72481.150999999998</v>
      </c>
      <c r="D31" s="338">
        <f>SUM(Drift!C75:D75)</f>
        <v>38708.707999999999</v>
      </c>
      <c r="E31" s="338">
        <f>Drift!F75</f>
        <v>14284.111999999999</v>
      </c>
      <c r="F31" s="338">
        <f>Drift!R75</f>
        <v>126.46899999999999</v>
      </c>
      <c r="G31" s="338">
        <f>Drift!S75</f>
        <v>1400.039</v>
      </c>
      <c r="H31" s="339">
        <f>Drift!T75</f>
        <v>8262.0920000000006</v>
      </c>
      <c r="I31" s="2413">
        <f>Motpart!Y29+Motpart!Z29</f>
        <v>281.21600000000001</v>
      </c>
      <c r="J31" s="338">
        <f>Drift!V75</f>
        <v>4311.9799999999996</v>
      </c>
      <c r="K31" s="1177">
        <f>C31-I31-J31-G41-G43</f>
        <v>62658.07</v>
      </c>
      <c r="L31" s="1767">
        <f t="shared" ref="L31:L36" si="7">C31-SUM(F31:H31,J31)</f>
        <v>58380.570999999996</v>
      </c>
      <c r="M31" s="1882">
        <f>IF(C31&gt;0,K31*1000000/Q31,"")</f>
        <v>5994.6532475163904</v>
      </c>
      <c r="N31" s="1882">
        <v>5811.674</v>
      </c>
      <c r="O31" s="2378">
        <f>IF(ISERROR((M31-N31)/N31),"",((M31-N31)/N31))</f>
        <v>3.1484774871472554E-2</v>
      </c>
      <c r="P31" s="2197"/>
      <c r="Q31" s="2396">
        <v>10452326</v>
      </c>
      <c r="R31" s="2408" t="s">
        <v>516</v>
      </c>
      <c r="S31" s="2197"/>
      <c r="T31" s="2197"/>
      <c r="U31" s="2197"/>
      <c r="V31" s="2197"/>
      <c r="W31" s="273"/>
    </row>
    <row r="32" spans="1:23" ht="12.75">
      <c r="A32" s="1160">
        <v>5131</v>
      </c>
      <c r="B32" s="1161" t="s">
        <v>195</v>
      </c>
      <c r="C32" s="134">
        <v>35674.044999999998</v>
      </c>
      <c r="D32" s="134">
        <v>21372.294999999998</v>
      </c>
      <c r="E32" s="134">
        <v>6317.1059999999998</v>
      </c>
      <c r="F32" s="134">
        <v>57.534999999999997</v>
      </c>
      <c r="G32" s="134">
        <v>1369.0039999999999</v>
      </c>
      <c r="H32" s="134">
        <v>1341.9949999999999</v>
      </c>
      <c r="I32" s="134">
        <v>60.886000000000003</v>
      </c>
      <c r="J32" s="134">
        <v>2284.4340000000002</v>
      </c>
      <c r="K32" s="1175">
        <f>C32-I32-J32</f>
        <v>33328.724999999999</v>
      </c>
      <c r="L32" s="1759">
        <f t="shared" si="7"/>
        <v>30621.076999999997</v>
      </c>
      <c r="M32" s="1166">
        <f>IF(C32&gt;0,K32*1000000/Q32,"")</f>
        <v>4341.5749121621375</v>
      </c>
      <c r="N32" s="1166">
        <v>4150.4309999999996</v>
      </c>
      <c r="O32" s="2378">
        <f>IF(ISERROR((M32-N32)/N32),"",((M32-N32)/N32))</f>
        <v>4.6053991058311275E-2</v>
      </c>
      <c r="P32" s="2197"/>
      <c r="Q32" s="2397">
        <v>7676644</v>
      </c>
      <c r="R32" s="2410" t="s">
        <v>1058</v>
      </c>
      <c r="S32" s="2197"/>
      <c r="T32" s="2197"/>
      <c r="U32" s="2197"/>
      <c r="V32" s="2197"/>
      <c r="W32" s="273"/>
    </row>
    <row r="33" spans="1:23" ht="12.75">
      <c r="A33" s="1160">
        <v>5132</v>
      </c>
      <c r="B33" s="1162" t="s">
        <v>536</v>
      </c>
      <c r="C33" s="279">
        <v>2381.7979999999998</v>
      </c>
      <c r="D33" s="134">
        <v>726.47</v>
      </c>
      <c r="E33" s="134">
        <v>1269.787</v>
      </c>
      <c r="F33" s="134">
        <v>9.59</v>
      </c>
      <c r="G33" s="134">
        <v>10.913</v>
      </c>
      <c r="H33" s="134">
        <v>161.453</v>
      </c>
      <c r="I33" s="134">
        <v>64.177000000000007</v>
      </c>
      <c r="J33" s="134">
        <v>120.80500000000001</v>
      </c>
      <c r="K33" s="1175">
        <f>C33-I33-J33</f>
        <v>2196.8159999999998</v>
      </c>
      <c r="L33" s="1759">
        <f t="shared" si="7"/>
        <v>2079.0369999999998</v>
      </c>
      <c r="M33" s="1166">
        <f>IF(C33&gt;0,K33*1000000/Q33,"")</f>
        <v>791.4508938704073</v>
      </c>
      <c r="N33" s="1166">
        <v>775.51800000000003</v>
      </c>
      <c r="O33" s="2378">
        <f>IF(ISERROR((M33-N33)/N33),"",((M33-N33)/N33))</f>
        <v>2.0544840829493666E-2</v>
      </c>
      <c r="P33" s="2197"/>
      <c r="Q33" s="2397">
        <v>2775682</v>
      </c>
      <c r="R33" s="2411" t="s">
        <v>1059</v>
      </c>
      <c r="S33" s="2197"/>
      <c r="T33" s="2197"/>
      <c r="U33" s="2197"/>
      <c r="V33" s="2197"/>
      <c r="W33" s="273"/>
    </row>
    <row r="34" spans="1:23" ht="12.75">
      <c r="A34" s="1160">
        <v>5133</v>
      </c>
      <c r="B34" s="1161" t="s">
        <v>617</v>
      </c>
      <c r="C34" s="279">
        <v>18239.780999999999</v>
      </c>
      <c r="D34" s="134">
        <v>8043.4870000000001</v>
      </c>
      <c r="E34" s="134">
        <v>4170.0510000000004</v>
      </c>
      <c r="F34" s="134">
        <v>15.835000000000001</v>
      </c>
      <c r="G34" s="134">
        <v>12.042</v>
      </c>
      <c r="H34" s="134">
        <v>5800.7309999999998</v>
      </c>
      <c r="I34" s="134">
        <v>32.899000000000001</v>
      </c>
      <c r="J34" s="279">
        <v>336.31599999999997</v>
      </c>
      <c r="K34" s="1175">
        <f>C34-I34-J34</f>
        <v>17870.565999999999</v>
      </c>
      <c r="L34" s="1759">
        <f t="shared" si="7"/>
        <v>12074.857</v>
      </c>
      <c r="M34" s="1166">
        <f>IF(C34&gt;0,K34*1000000/Q34,"")</f>
        <v>1709.7214533875044</v>
      </c>
      <c r="N34" s="1166">
        <v>1730.6130000000001</v>
      </c>
      <c r="O34" s="2378">
        <f>IF(ISERROR((M34-N34)/N34),"",((M34-N34)/N34))</f>
        <v>-1.2071761053739704E-2</v>
      </c>
      <c r="P34" s="2197"/>
      <c r="Q34" s="2397">
        <v>10452326</v>
      </c>
      <c r="R34" s="2411" t="s">
        <v>516</v>
      </c>
      <c r="S34" s="2197"/>
      <c r="T34" s="2197"/>
      <c r="U34" s="2197"/>
      <c r="V34" s="2197"/>
      <c r="W34" s="273"/>
    </row>
    <row r="35" spans="1:23" ht="12.75">
      <c r="A35" s="1160">
        <v>5135</v>
      </c>
      <c r="B35" s="1149" t="s">
        <v>159</v>
      </c>
      <c r="C35" s="279">
        <v>10413.754000000001</v>
      </c>
      <c r="D35" s="134">
        <v>5057.8389999999999</v>
      </c>
      <c r="E35" s="280">
        <v>1826.9280000000001</v>
      </c>
      <c r="F35" s="280">
        <v>24.640999999999998</v>
      </c>
      <c r="G35" s="280">
        <v>2.698</v>
      </c>
      <c r="H35" s="280">
        <v>716.25300000000004</v>
      </c>
      <c r="I35" s="280">
        <v>33.737000000000002</v>
      </c>
      <c r="J35" s="280">
        <v>1025.9749999999999</v>
      </c>
      <c r="K35" s="1175">
        <f>C35-I35-J35</f>
        <v>9354.0420000000013</v>
      </c>
      <c r="L35" s="1759">
        <f t="shared" si="7"/>
        <v>8644.1870000000017</v>
      </c>
      <c r="M35" s="1166">
        <f>IF(C35&gt;0,K35*1000000/Q35,"")</f>
        <v>1683.0239886517843</v>
      </c>
      <c r="N35" s="1166">
        <v>1624.2059999999999</v>
      </c>
      <c r="O35" s="2378">
        <f>IF(ISERROR((M35-N35)/N35),"",((M35-N35)/N35))</f>
        <v>3.6213379738644233E-2</v>
      </c>
      <c r="P35" s="2197"/>
      <c r="Q35" s="2397">
        <v>5557878</v>
      </c>
      <c r="R35" s="2411" t="s">
        <v>1060</v>
      </c>
      <c r="S35" s="2197"/>
      <c r="T35" s="2197"/>
      <c r="U35" s="2197"/>
      <c r="V35" s="2197"/>
      <c r="W35" s="273"/>
    </row>
    <row r="36" spans="1:23" ht="12.75">
      <c r="A36" s="1160">
        <v>5139</v>
      </c>
      <c r="B36" s="1149" t="s">
        <v>160</v>
      </c>
      <c r="C36" s="279">
        <v>5771.7640000000001</v>
      </c>
      <c r="D36" s="134">
        <v>3508.6129999999998</v>
      </c>
      <c r="E36" s="134">
        <v>700.24</v>
      </c>
      <c r="F36" s="134">
        <v>18.867000000000001</v>
      </c>
      <c r="G36" s="134">
        <v>5.3819999999999997</v>
      </c>
      <c r="H36" s="134">
        <v>241.66200000000001</v>
      </c>
      <c r="I36" s="134">
        <v>89.516000000000005</v>
      </c>
      <c r="J36" s="134">
        <v>544.44600000000003</v>
      </c>
      <c r="K36" s="1175">
        <f>C36-I36-J36</f>
        <v>5137.8020000000006</v>
      </c>
      <c r="L36" s="1759">
        <f t="shared" si="7"/>
        <v>4961.4070000000002</v>
      </c>
      <c r="M36" s="1169"/>
      <c r="N36" s="1168"/>
      <c r="O36" s="2379"/>
      <c r="P36" s="2197"/>
      <c r="Q36" s="2394" t="str">
        <f>"På minst en delv-ht inom v-het 513 redovisas varken detta år eller året innan lämnat några kostnader. Har kommunen inte denna/dessa verksamhet(er)? Lämna förklarande kommentar"</f>
        <v>På minst en delv-ht inom v-het 513 redovisas varken detta år eller året innan lämnat några kostnader. Har kommunen inte denna/dessa verksamhet(er)? Lämna förklarande kommentar</v>
      </c>
      <c r="R36" s="2596" t="str">
        <f>"För minst en delv-ht inom v-het 513 redovisades kostnader föregående år men inte i år. Har kommunen inte verksamheten(-erna)? Lämna förklarande kommentar"</f>
        <v>För minst en delv-ht inom v-het 513 redovisades kostnader föregående år men inte i år. Har kommunen inte verksamheten(-erna)? Lämna förklarande kommentar</v>
      </c>
      <c r="S36" s="2197"/>
      <c r="T36" s="2197"/>
      <c r="U36" s="2197"/>
      <c r="V36" s="2197"/>
      <c r="W36" s="273"/>
    </row>
    <row r="37" spans="1:23" ht="17.25" customHeight="1">
      <c r="A37" s="1151">
        <v>51399</v>
      </c>
      <c r="B37" s="1152" t="s">
        <v>618</v>
      </c>
      <c r="C37" s="322">
        <f t="shared" ref="C37:J37" si="8">SUM(C32:C36)</f>
        <v>72481.141999999993</v>
      </c>
      <c r="D37" s="322">
        <f>SUM(D32:D36)</f>
        <v>38708.703999999998</v>
      </c>
      <c r="E37" s="322">
        <f t="shared" si="8"/>
        <v>14284.111999999999</v>
      </c>
      <c r="F37" s="322">
        <f t="shared" si="8"/>
        <v>126.468</v>
      </c>
      <c r="G37" s="322">
        <f t="shared" si="8"/>
        <v>1400.039</v>
      </c>
      <c r="H37" s="322">
        <f t="shared" si="8"/>
        <v>8262.0939999999991</v>
      </c>
      <c r="I37" s="322">
        <f t="shared" si="8"/>
        <v>281.21500000000003</v>
      </c>
      <c r="J37" s="324">
        <f t="shared" si="8"/>
        <v>4311.9759999999997</v>
      </c>
      <c r="K37" s="1169"/>
      <c r="L37" s="1170"/>
      <c r="M37" s="1170"/>
      <c r="N37" s="1170"/>
      <c r="O37" s="2380"/>
      <c r="P37" s="2197"/>
      <c r="Q37" s="2398"/>
      <c r="R37" s="2597"/>
      <c r="S37" s="2197"/>
      <c r="T37" s="2197"/>
      <c r="U37" s="2197"/>
      <c r="V37" s="2197"/>
      <c r="W37" s="273"/>
    </row>
    <row r="38" spans="1:23" ht="13.5" thickBot="1">
      <c r="A38" s="1153"/>
      <c r="B38" s="1685"/>
      <c r="C38" s="321"/>
      <c r="D38" s="321"/>
      <c r="E38" s="321"/>
      <c r="F38" s="321"/>
      <c r="G38" s="321"/>
      <c r="H38" s="321"/>
      <c r="I38" s="325"/>
      <c r="J38" s="321"/>
      <c r="K38" s="1171"/>
      <c r="L38" s="1752"/>
      <c r="M38" s="1172"/>
      <c r="N38" s="1172"/>
      <c r="O38" s="2381"/>
      <c r="P38" s="2197"/>
      <c r="Q38" s="2399"/>
      <c r="R38" s="2598"/>
      <c r="S38" s="2197"/>
      <c r="T38" s="2197"/>
      <c r="U38" s="2197"/>
      <c r="V38" s="2197"/>
      <c r="W38" s="273"/>
    </row>
    <row r="39" spans="1:23" ht="12.75">
      <c r="A39" s="275"/>
      <c r="B39" s="303" t="s">
        <v>620</v>
      </c>
      <c r="C39" s="303"/>
      <c r="D39" s="303"/>
      <c r="E39" s="303"/>
      <c r="F39" s="303"/>
      <c r="G39" s="303"/>
      <c r="H39" s="303"/>
      <c r="I39" s="303"/>
      <c r="J39" s="1805"/>
      <c r="K39" s="1805"/>
      <c r="L39" s="1805"/>
      <c r="M39" s="1805"/>
      <c r="N39" s="1805"/>
      <c r="O39" s="337"/>
      <c r="P39" s="2372"/>
      <c r="Q39" s="1800"/>
      <c r="R39" s="274"/>
      <c r="S39" s="273"/>
      <c r="T39" s="273"/>
      <c r="U39" s="273"/>
      <c r="V39" s="273"/>
    </row>
    <row r="40" spans="1:23" ht="12.75">
      <c r="B40" s="303" t="s">
        <v>619</v>
      </c>
      <c r="C40" s="304"/>
      <c r="D40" s="304"/>
      <c r="E40" s="304"/>
      <c r="F40" s="304"/>
      <c r="G40" s="305"/>
      <c r="H40" s="305"/>
      <c r="I40" s="305"/>
      <c r="J40" s="305"/>
      <c r="K40" s="275"/>
      <c r="L40" s="275"/>
      <c r="M40" s="275"/>
      <c r="N40" s="275"/>
    </row>
    <row r="41" spans="1:23" ht="12.75">
      <c r="B41" s="1178" t="s">
        <v>164</v>
      </c>
      <c r="C41" s="1179"/>
      <c r="D41" s="1179"/>
      <c r="E41" s="1180"/>
      <c r="F41" s="1181"/>
      <c r="G41" s="136">
        <f>'Verks int o kostn'!D20</f>
        <v>5226.817</v>
      </c>
      <c r="H41" s="1974"/>
      <c r="I41" s="275"/>
      <c r="J41" s="275"/>
      <c r="K41" s="275"/>
      <c r="L41" s="275"/>
      <c r="M41" s="275"/>
      <c r="N41" s="275"/>
    </row>
    <row r="42" spans="1:23" ht="12.75">
      <c r="B42" s="1178" t="s">
        <v>165</v>
      </c>
      <c r="C42" s="1179"/>
      <c r="D42" s="1179"/>
      <c r="E42" s="1180"/>
      <c r="F42" s="1181"/>
      <c r="G42" s="136">
        <f>'Verks int o kostn'!I41</f>
        <v>4471.0739999999996</v>
      </c>
      <c r="H42" s="1974"/>
      <c r="I42" s="275"/>
      <c r="J42" s="275"/>
      <c r="K42" s="275"/>
      <c r="L42" s="275"/>
      <c r="M42" s="275"/>
      <c r="N42" s="275"/>
    </row>
    <row r="43" spans="1:23" ht="12.75">
      <c r="A43" s="435">
        <v>51398</v>
      </c>
      <c r="B43" s="1182" t="s">
        <v>191</v>
      </c>
      <c r="C43" s="1179"/>
      <c r="D43" s="1179"/>
      <c r="E43" s="1180"/>
      <c r="F43" s="1181"/>
      <c r="G43" s="134">
        <v>3.0680000000000001</v>
      </c>
      <c r="H43" s="320"/>
      <c r="I43" s="275"/>
      <c r="J43" s="275"/>
      <c r="K43" s="275"/>
      <c r="L43" s="275"/>
      <c r="M43" s="275"/>
      <c r="N43" s="275"/>
    </row>
    <row r="44" spans="1:23" ht="13.5" thickBot="1">
      <c r="E44" s="429" t="s">
        <v>727</v>
      </c>
      <c r="F44" s="429" t="s">
        <v>728</v>
      </c>
      <c r="G44" s="429" t="s">
        <v>729</v>
      </c>
      <c r="H44" s="429" t="s">
        <v>730</v>
      </c>
      <c r="I44" s="429" t="s">
        <v>731</v>
      </c>
      <c r="J44" s="429" t="s">
        <v>732</v>
      </c>
      <c r="K44" s="429" t="s">
        <v>733</v>
      </c>
      <c r="L44" s="429" t="s">
        <v>734</v>
      </c>
      <c r="M44" s="429" t="s">
        <v>735</v>
      </c>
    </row>
    <row r="45" spans="1:23" ht="14.25" customHeight="1">
      <c r="A45" s="2599" t="s">
        <v>818</v>
      </c>
      <c r="B45" s="2600"/>
      <c r="C45" s="1303" t="s">
        <v>796</v>
      </c>
      <c r="D45" s="1183" t="s">
        <v>129</v>
      </c>
      <c r="E45" s="1124" t="s">
        <v>197</v>
      </c>
      <c r="F45" s="1124" t="s">
        <v>491</v>
      </c>
      <c r="G45" s="1124" t="s">
        <v>198</v>
      </c>
      <c r="H45" s="1124" t="s">
        <v>126</v>
      </c>
      <c r="I45" s="1183" t="s">
        <v>1096</v>
      </c>
      <c r="J45" s="1124" t="s">
        <v>128</v>
      </c>
      <c r="K45" s="2603" t="s">
        <v>830</v>
      </c>
      <c r="L45" s="1124" t="s">
        <v>127</v>
      </c>
      <c r="M45" s="1124" t="s">
        <v>152</v>
      </c>
      <c r="N45" s="1126"/>
      <c r="O45" s="1125"/>
      <c r="P45" s="1184"/>
      <c r="R45" s="2197"/>
      <c r="S45" s="2197"/>
      <c r="T45" s="2197"/>
      <c r="U45" s="2197"/>
      <c r="V45" s="2197"/>
    </row>
    <row r="46" spans="1:23" ht="12.75">
      <c r="A46" s="2601"/>
      <c r="B46" s="2602"/>
      <c r="C46" s="1360" t="s">
        <v>812</v>
      </c>
      <c r="D46" s="1128"/>
      <c r="E46" s="1185" t="s">
        <v>130</v>
      </c>
      <c r="F46" s="1185" t="s">
        <v>196</v>
      </c>
      <c r="G46" s="1185" t="s">
        <v>131</v>
      </c>
      <c r="H46" s="1185"/>
      <c r="I46" s="1737"/>
      <c r="J46" s="1185" t="s">
        <v>133</v>
      </c>
      <c r="K46" s="2604"/>
      <c r="L46" s="1185" t="s">
        <v>132</v>
      </c>
      <c r="M46" s="1185"/>
      <c r="N46" s="1135"/>
      <c r="O46" s="1140"/>
      <c r="P46" s="1186"/>
      <c r="R46" s="2197"/>
      <c r="S46" s="2197"/>
      <c r="T46" s="2197"/>
      <c r="U46" s="2197"/>
      <c r="V46" s="2197"/>
    </row>
    <row r="47" spans="1:23" ht="30" customHeight="1">
      <c r="A47" s="2601"/>
      <c r="B47" s="2602"/>
      <c r="C47" s="1575"/>
      <c r="D47" s="1304"/>
      <c r="E47" s="1576" t="s">
        <v>785</v>
      </c>
      <c r="F47" s="1561" t="s">
        <v>786</v>
      </c>
      <c r="G47" s="1561" t="s">
        <v>787</v>
      </c>
      <c r="H47" s="1561" t="s">
        <v>788</v>
      </c>
      <c r="I47" s="1561" t="s">
        <v>789</v>
      </c>
      <c r="J47" s="1561" t="s">
        <v>790</v>
      </c>
      <c r="K47" s="1561" t="s">
        <v>791</v>
      </c>
      <c r="L47" s="1561" t="s">
        <v>792</v>
      </c>
      <c r="M47" s="1561" t="s">
        <v>793</v>
      </c>
      <c r="N47" s="1135"/>
      <c r="O47" s="1140"/>
      <c r="P47" s="1186"/>
      <c r="R47" s="2197"/>
      <c r="S47" s="2197"/>
      <c r="T47" s="2197"/>
      <c r="U47" s="2197"/>
      <c r="V47" s="2197"/>
    </row>
    <row r="48" spans="1:23" ht="6.75" customHeight="1">
      <c r="A48" s="1504"/>
      <c r="B48" s="1505"/>
      <c r="C48" s="1577"/>
      <c r="D48" s="1578"/>
      <c r="E48" s="1579"/>
      <c r="F48" s="1579"/>
      <c r="G48" s="1579"/>
      <c r="H48" s="1579"/>
      <c r="I48" s="1580"/>
      <c r="J48" s="1579"/>
      <c r="K48" s="1580"/>
      <c r="L48" s="1579"/>
      <c r="M48" s="1185"/>
      <c r="N48" s="1135"/>
      <c r="O48" s="1140"/>
      <c r="P48" s="1186"/>
      <c r="R48" s="2197"/>
      <c r="S48" s="2197"/>
      <c r="T48" s="2197"/>
      <c r="U48" s="2197"/>
      <c r="V48" s="2197"/>
    </row>
    <row r="49" spans="1:22" ht="12" customHeight="1">
      <c r="A49" s="1187">
        <v>510</v>
      </c>
      <c r="B49" s="1188" t="s">
        <v>512</v>
      </c>
      <c r="C49" s="430">
        <f>E12</f>
        <v>21829.584999999999</v>
      </c>
      <c r="D49" s="297"/>
      <c r="E49" s="430">
        <f>Motpart!D27</f>
        <v>1998.192</v>
      </c>
      <c r="F49" s="430">
        <f>Motpart!E27</f>
        <v>423.19900000000001</v>
      </c>
      <c r="G49" s="430">
        <f>Motpart!F27</f>
        <v>18197.273000000001</v>
      </c>
      <c r="H49" s="430">
        <f>Motpart!G27</f>
        <v>236.429</v>
      </c>
      <c r="I49" s="430">
        <f>Motpart!H27</f>
        <v>148.58699999999999</v>
      </c>
      <c r="J49" s="430">
        <f>Motpart!I27</f>
        <v>12.478999999999999</v>
      </c>
      <c r="K49" s="1901"/>
      <c r="L49" s="430">
        <f>Motpart!K27</f>
        <v>811.87199999999996</v>
      </c>
      <c r="M49" s="434">
        <f>Motpart!L27</f>
        <v>1.5529999999999999</v>
      </c>
      <c r="N49" s="1975"/>
      <c r="O49" s="329"/>
      <c r="P49" s="333"/>
      <c r="R49" s="2197"/>
      <c r="S49" s="2197"/>
      <c r="T49" s="2197"/>
      <c r="U49" s="2197"/>
      <c r="V49" s="2197"/>
    </row>
    <row r="50" spans="1:22" ht="12.75">
      <c r="A50" s="1160">
        <v>5101</v>
      </c>
      <c r="B50" s="1189" t="s">
        <v>444</v>
      </c>
      <c r="C50" s="431">
        <f>E13</f>
        <v>7389.88</v>
      </c>
      <c r="D50" s="138"/>
      <c r="E50" s="134">
        <v>239.441</v>
      </c>
      <c r="F50" s="134">
        <v>166.797</v>
      </c>
      <c r="G50" s="134">
        <v>6648.9260000000004</v>
      </c>
      <c r="H50" s="134">
        <v>61.293999999999997</v>
      </c>
      <c r="I50" s="134">
        <v>28.843</v>
      </c>
      <c r="J50" s="134">
        <v>4.4939999999999998</v>
      </c>
      <c r="K50" s="1902"/>
      <c r="L50" s="134">
        <v>240.08099999999999</v>
      </c>
      <c r="M50" s="328">
        <v>2E-3</v>
      </c>
      <c r="N50" s="1976"/>
      <c r="O50" s="330"/>
      <c r="P50" s="334"/>
      <c r="R50" s="2197"/>
      <c r="S50" s="2197"/>
      <c r="T50" s="2197"/>
      <c r="U50" s="2197"/>
      <c r="V50" s="2197"/>
    </row>
    <row r="51" spans="1:22" ht="12.75">
      <c r="A51" s="1160">
        <v>5103</v>
      </c>
      <c r="B51" s="1190" t="s">
        <v>443</v>
      </c>
      <c r="C51" s="431">
        <f>E14</f>
        <v>587.46500000000003</v>
      </c>
      <c r="D51" s="137"/>
      <c r="E51" s="134">
        <v>25.402000000000001</v>
      </c>
      <c r="F51" s="134">
        <v>24.64</v>
      </c>
      <c r="G51" s="134">
        <v>397.11799999999999</v>
      </c>
      <c r="H51" s="134">
        <v>33.345999999999997</v>
      </c>
      <c r="I51" s="134">
        <v>80.108999999999995</v>
      </c>
      <c r="J51" s="134">
        <v>0.623</v>
      </c>
      <c r="K51" s="1902"/>
      <c r="L51" s="134">
        <v>24.765999999999998</v>
      </c>
      <c r="M51" s="314">
        <v>1.4610000000000001</v>
      </c>
      <c r="N51" s="1977"/>
      <c r="O51" s="331"/>
      <c r="P51" s="334"/>
      <c r="R51" s="2197"/>
      <c r="S51" s="2197"/>
      <c r="T51" s="2197"/>
      <c r="U51" s="2197"/>
      <c r="V51" s="2197"/>
    </row>
    <row r="52" spans="1:22" ht="12.75">
      <c r="A52" s="1191">
        <v>5105</v>
      </c>
      <c r="B52" s="1144" t="s">
        <v>478</v>
      </c>
      <c r="C52" s="432">
        <f>E16</f>
        <v>13642.364</v>
      </c>
      <c r="D52" s="139"/>
      <c r="E52" s="313">
        <v>1717.4839999999999</v>
      </c>
      <c r="F52" s="313">
        <v>220.87899999999999</v>
      </c>
      <c r="G52" s="313">
        <v>11005.05</v>
      </c>
      <c r="H52" s="313">
        <v>130.78700000000001</v>
      </c>
      <c r="I52" s="313">
        <v>33.970999999999997</v>
      </c>
      <c r="J52" s="313">
        <v>7.1180000000000003</v>
      </c>
      <c r="K52" s="1903"/>
      <c r="L52" s="313">
        <v>526.36400000000003</v>
      </c>
      <c r="M52" s="315">
        <v>7.8E-2</v>
      </c>
      <c r="N52" s="1978"/>
      <c r="O52" s="509"/>
      <c r="P52" s="510"/>
      <c r="R52" s="2197"/>
      <c r="S52" s="2197"/>
      <c r="T52" s="2197"/>
      <c r="U52" s="2197"/>
      <c r="V52" s="2197"/>
    </row>
    <row r="53" spans="1:22" ht="12.75">
      <c r="A53" s="1192">
        <v>520</v>
      </c>
      <c r="B53" s="1141" t="s">
        <v>452</v>
      </c>
      <c r="C53" s="430">
        <f>E21</f>
        <v>3571.1239999999998</v>
      </c>
      <c r="D53" s="138"/>
      <c r="E53" s="430">
        <f>Motpart!D28</f>
        <v>263.04199999999997</v>
      </c>
      <c r="F53" s="430">
        <f>Motpart!E28</f>
        <v>2.5139999999999998</v>
      </c>
      <c r="G53" s="430">
        <f>Motpart!F28</f>
        <v>3115.6280000000002</v>
      </c>
      <c r="H53" s="430">
        <f>Motpart!G28</f>
        <v>58.067</v>
      </c>
      <c r="I53" s="430">
        <f>Motpart!H28</f>
        <v>23.91</v>
      </c>
      <c r="J53" s="430">
        <f>Motpart!I28</f>
        <v>7.0880000000000001</v>
      </c>
      <c r="K53" s="1901"/>
      <c r="L53" s="430">
        <f>Motpart!K28</f>
        <v>100.551</v>
      </c>
      <c r="M53" s="430">
        <f>Motpart!L28</f>
        <v>0.32400000000000001</v>
      </c>
      <c r="N53" s="1979"/>
      <c r="O53" s="329"/>
      <c r="P53" s="333"/>
      <c r="R53" s="2197"/>
      <c r="S53" s="2197"/>
      <c r="T53" s="2197"/>
      <c r="U53" s="2197"/>
      <c r="V53" s="2197"/>
    </row>
    <row r="54" spans="1:22" ht="12.75">
      <c r="A54" s="1160">
        <v>5201</v>
      </c>
      <c r="B54" s="1189" t="s">
        <v>446</v>
      </c>
      <c r="C54" s="431">
        <f>E22</f>
        <v>791.63900000000001</v>
      </c>
      <c r="D54" s="137"/>
      <c r="E54" s="134">
        <v>22.404</v>
      </c>
      <c r="F54" s="134">
        <v>2.0339999999999998</v>
      </c>
      <c r="G54" s="134">
        <v>759.38199999999995</v>
      </c>
      <c r="H54" s="134">
        <v>5.2359999999999998</v>
      </c>
      <c r="I54" s="134">
        <v>1.1100000000000001</v>
      </c>
      <c r="J54" s="134">
        <v>0.26700000000000002</v>
      </c>
      <c r="K54" s="1902"/>
      <c r="L54" s="134">
        <v>1.1950000000000001</v>
      </c>
      <c r="M54" s="314">
        <v>0</v>
      </c>
      <c r="N54" s="1980"/>
      <c r="O54" s="331"/>
      <c r="P54" s="334"/>
      <c r="R54" s="2197"/>
      <c r="S54" s="2197"/>
      <c r="T54" s="2197"/>
      <c r="U54" s="2197"/>
      <c r="V54" s="2197"/>
    </row>
    <row r="55" spans="1:22" ht="12.75">
      <c r="A55" s="1160">
        <v>5203</v>
      </c>
      <c r="B55" s="1189" t="s">
        <v>443</v>
      </c>
      <c r="C55" s="431">
        <f>E24</f>
        <v>314.58</v>
      </c>
      <c r="D55" s="137"/>
      <c r="E55" s="134">
        <v>35.53</v>
      </c>
      <c r="F55" s="134">
        <v>1.0999999999999999E-2</v>
      </c>
      <c r="G55" s="134">
        <v>271.79199999999997</v>
      </c>
      <c r="H55" s="134">
        <v>1.538</v>
      </c>
      <c r="I55" s="134">
        <v>5.6820000000000004</v>
      </c>
      <c r="J55" s="134">
        <v>4.0000000000000001E-3</v>
      </c>
      <c r="K55" s="1902"/>
      <c r="L55" s="134">
        <v>1.7999999999999999E-2</v>
      </c>
      <c r="M55" s="314">
        <v>0</v>
      </c>
      <c r="N55" s="1977"/>
      <c r="O55" s="331"/>
      <c r="P55" s="334"/>
      <c r="R55" s="2197"/>
      <c r="S55" s="2197"/>
      <c r="T55" s="2197"/>
      <c r="U55" s="2197"/>
      <c r="V55" s="2197"/>
    </row>
    <row r="56" spans="1:22" ht="12.75">
      <c r="A56" s="1193">
        <v>5205</v>
      </c>
      <c r="B56" s="1138" t="s">
        <v>478</v>
      </c>
      <c r="C56" s="432">
        <f>E26</f>
        <v>2014.251</v>
      </c>
      <c r="D56" s="296"/>
      <c r="E56" s="134">
        <v>156.49700000000001</v>
      </c>
      <c r="F56" s="134">
        <v>0.311</v>
      </c>
      <c r="G56" s="134">
        <v>1742.0440000000001</v>
      </c>
      <c r="H56" s="134">
        <v>38.189</v>
      </c>
      <c r="I56" s="134">
        <v>13.236000000000001</v>
      </c>
      <c r="J56" s="134">
        <v>4.8550000000000004</v>
      </c>
      <c r="K56" s="1902"/>
      <c r="L56" s="134">
        <v>58.811999999999998</v>
      </c>
      <c r="M56" s="315">
        <v>0.29599999999999999</v>
      </c>
      <c r="N56" s="1978"/>
      <c r="O56" s="509"/>
      <c r="P56" s="510"/>
      <c r="R56" s="2197"/>
      <c r="S56" s="2197"/>
      <c r="T56" s="2197"/>
      <c r="U56" s="2197"/>
      <c r="V56" s="2197"/>
    </row>
    <row r="57" spans="1:22" ht="12.75">
      <c r="A57" s="1194">
        <v>513</v>
      </c>
      <c r="B57" s="1195" t="s">
        <v>451</v>
      </c>
      <c r="C57" s="430">
        <f>E31</f>
        <v>14284.111999999999</v>
      </c>
      <c r="D57" s="297"/>
      <c r="E57" s="430">
        <f>Motpart!D29</f>
        <v>1558.373</v>
      </c>
      <c r="F57" s="430">
        <f>Motpart!E29</f>
        <v>227.339</v>
      </c>
      <c r="G57" s="430">
        <f>Motpart!F29</f>
        <v>11663.343999999999</v>
      </c>
      <c r="H57" s="430">
        <f>Motpart!G29</f>
        <v>287.46800000000002</v>
      </c>
      <c r="I57" s="430">
        <f>Motpart!H29</f>
        <v>90.02</v>
      </c>
      <c r="J57" s="430">
        <f>Motpart!I29</f>
        <v>34.103999999999999</v>
      </c>
      <c r="K57" s="1901"/>
      <c r="L57" s="430">
        <f>Motpart!K29</f>
        <v>423.012</v>
      </c>
      <c r="M57" s="430">
        <f>Motpart!L29</f>
        <v>0.45300000000000001</v>
      </c>
      <c r="N57" s="1981"/>
      <c r="O57" s="511"/>
      <c r="P57" s="333"/>
      <c r="R57" s="2197"/>
      <c r="S57" s="2197"/>
      <c r="T57" s="2197"/>
      <c r="U57" s="2197"/>
      <c r="V57" s="2197"/>
    </row>
    <row r="58" spans="1:22" ht="13.5" thickBot="1">
      <c r="A58" s="1153">
        <v>5131</v>
      </c>
      <c r="B58" s="1196" t="s">
        <v>195</v>
      </c>
      <c r="C58" s="433">
        <f>E32</f>
        <v>6317.1059999999998</v>
      </c>
      <c r="D58" s="298"/>
      <c r="E58" s="316">
        <v>831.35299999999995</v>
      </c>
      <c r="F58" s="316">
        <v>111.514</v>
      </c>
      <c r="G58" s="316">
        <v>5103.527</v>
      </c>
      <c r="H58" s="316">
        <v>45.427999999999997</v>
      </c>
      <c r="I58" s="316">
        <v>16.638000000000002</v>
      </c>
      <c r="J58" s="316">
        <v>1.4830000000000001</v>
      </c>
      <c r="K58" s="1904"/>
      <c r="L58" s="316">
        <v>206.83199999999999</v>
      </c>
      <c r="M58" s="317">
        <v>0.32900000000000001</v>
      </c>
      <c r="N58" s="1982"/>
      <c r="O58" s="332"/>
      <c r="P58" s="335"/>
      <c r="R58" s="2197"/>
      <c r="S58" s="2197"/>
      <c r="T58" s="2197"/>
      <c r="U58" s="2197"/>
      <c r="V58" s="2197"/>
    </row>
    <row r="59" spans="1:22" ht="12.75">
      <c r="D59" s="336"/>
      <c r="N59" s="318"/>
      <c r="O59" s="319"/>
      <c r="R59" s="2197"/>
      <c r="S59" s="2197"/>
      <c r="T59" s="2197"/>
      <c r="U59" s="2197"/>
      <c r="V59" s="2197"/>
    </row>
    <row r="60" spans="1:22" ht="12.75">
      <c r="R60" s="2197"/>
      <c r="S60" s="2197"/>
      <c r="T60" s="2197"/>
      <c r="U60" s="2197"/>
      <c r="V60" s="2197"/>
    </row>
  </sheetData>
  <sheetProtection algorithmName="SHA-512" hashValue="0qPhJXRoOfktTj1iXF32RXnJ1pDfLpSVfPSEMAewTt5gBAoQTmqzTYyWfxlt8nuHFWeyTWfeh8QqKG4PtdOrRg==" saltValue="jx8uqFbPsZ4130Eji1P4JQ==" spinCount="100000" sheet="1" objects="1" scenarios="1"/>
  <customSheetViews>
    <customSheetView guid="{97D6DB71-3F4C-4C5F-8C5B-51E3EBF78932}" showPageBreaks="1" showGridLines="0" fitToPage="1" hiddenRows="1" hiddenColumns="1" topLeftCell="A15">
      <selection activeCell="A44" sqref="A44:B48"/>
      <pageMargins left="0.31496062992125984" right="0.6692913385826772" top="0.74803149606299213" bottom="0.15748031496062992" header="0.31496062992125984" footer="0.31496062992125984"/>
      <pageSetup paperSize="9" scale="54" orientation="landscape" r:id="rId1"/>
      <headerFooter>
        <oddHeader>&amp;L&amp;8Statistiska Centralbyrån
Offentlig ekonomi&amp;R&amp;P</oddHeader>
      </headerFooter>
    </customSheetView>
    <customSheetView guid="{99FBDEB7-DD08-4F57-81F4-3C180403E153}" showGridLines="0" fitToPage="1" hiddenRows="1" hiddenColumns="1">
      <selection activeCell="A43" sqref="A43:B47"/>
      <pageMargins left="0.31496062992125984" right="0.6692913385826772" top="0.74803149606299213" bottom="0.15748031496062992" header="0.31496062992125984" footer="0.31496062992125984"/>
      <pageSetup paperSize="9" scale="56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fitToPage="1" hiddenRows="1" hiddenColumns="1" showRuler="0">
      <selection activeCell="J30" sqref="J30"/>
      <pageMargins left="0.31496062992125984" right="0.6692913385826772" top="0.74803149606299213" bottom="0.15748031496062992" header="0.31496062992125984" footer="0.31496062992125984"/>
      <pageSetup paperSize="9" scale="56" orientation="landscape" r:id="rId3"/>
      <headerFooter alignWithMargins="0">
        <oddHeader>&amp;L&amp;8Statistiska Centralbyrån
Offentlig ekonomi&amp;R&amp;P</oddHeader>
      </headerFooter>
    </customSheetView>
  </customSheetViews>
  <mergeCells count="15">
    <mergeCell ref="A45:B47"/>
    <mergeCell ref="K45:K46"/>
    <mergeCell ref="F6:F7"/>
    <mergeCell ref="G6:G7"/>
    <mergeCell ref="H6:H7"/>
    <mergeCell ref="H9:H11"/>
    <mergeCell ref="E6:E7"/>
    <mergeCell ref="I6:I7"/>
    <mergeCell ref="D6:D7"/>
    <mergeCell ref="D9:D10"/>
    <mergeCell ref="O4:O6"/>
    <mergeCell ref="Q6:R7"/>
    <mergeCell ref="R14:R19"/>
    <mergeCell ref="R23:R29"/>
    <mergeCell ref="R36:R38"/>
  </mergeCells>
  <phoneticPr fontId="86" type="noConversion"/>
  <conditionalFormatting sqref="H34">
    <cfRule type="cellIs" dxfId="22" priority="25" stopIfTrue="1" operator="lessThan">
      <formula>0</formula>
    </cfRule>
    <cfRule type="cellIs" dxfId="21" priority="26" stopIfTrue="1" operator="lessThan">
      <formula>SUM(G41)</formula>
    </cfRule>
  </conditionalFormatting>
  <conditionalFormatting sqref="C34:D34">
    <cfRule type="cellIs" dxfId="20" priority="27" stopIfTrue="1" operator="lessThan">
      <formula>0</formula>
    </cfRule>
    <cfRule type="cellIs" dxfId="19" priority="28" stopIfTrue="1" operator="lessThan">
      <formula>SUM(G42)</formula>
    </cfRule>
  </conditionalFormatting>
  <conditionalFormatting sqref="E58:M58 G43 H35:H36 I32:J36 H32:H33 E32:G36 E50:M52 E54:M56 C13:J18 C22:J28 C32:D33 C35:D36">
    <cfRule type="cellIs" dxfId="18" priority="23" stopIfTrue="1" operator="lessThan">
      <formula>0</formula>
    </cfRule>
  </conditionalFormatting>
  <conditionalFormatting sqref="B20 B30 B38">
    <cfRule type="expression" dxfId="17" priority="86" stopIfTrue="1">
      <formula>OR(C20&gt;5,C20&lt;-5,E20&gt;5,E20&lt;-5,F20&gt;5,F20&lt;-5,G20&gt;5,G20&lt;-5,H20&gt;5,H20&lt;-5,I20&gt;5,I20&lt;-5,J20&gt;5,J20&lt;-5)</formula>
    </cfRule>
  </conditionalFormatting>
  <conditionalFormatting sqref="R14:R19">
    <cfRule type="expression" dxfId="16" priority="6">
      <formula>IF(C12=0,"",IF(C17&gt;1,"",IF(K17=0,N17&lt;&gt;0)))</formula>
    </cfRule>
    <cfRule type="expression" dxfId="15" priority="7">
      <formula>IF(C12=0,"",IF(C16&gt;1,"",IF(K16=0,N16&lt;&gt;0)))</formula>
    </cfRule>
    <cfRule type="expression" dxfId="14" priority="8">
      <formula>IF(C12=0,"",IF(C15&gt;1,"",IF(K15=0,N15&lt;&gt;0)))</formula>
    </cfRule>
    <cfRule type="expression" dxfId="13" priority="9">
      <formula>IF(C12=0,"",IF(C14&gt;1,"",IF(K14=0,N14&lt;&gt;0)))</formula>
    </cfRule>
    <cfRule type="expression" dxfId="12" priority="15">
      <formula>IF(C12=0,"",IF(C13&gt;1,"",IF(K13=0,N13&lt;&gt;0)))</formula>
    </cfRule>
  </conditionalFormatting>
  <conditionalFormatting sqref="R36:R38">
    <cfRule type="expression" dxfId="11" priority="2">
      <formula>IF(C31=0,"",IF(C35&gt;1,"",IF(K35=0,N35&lt;&gt;0)))</formula>
    </cfRule>
    <cfRule type="expression" dxfId="10" priority="3">
      <formula>IF(C31=0,"",IF(C34&gt;1,"",IF(K34=0,N34&lt;&gt;0)))</formula>
    </cfRule>
    <cfRule type="expression" dxfId="9" priority="4">
      <formula>IF(C31=0,"",IF(C33&gt;1,"",IF(K33=0,N33&lt;&gt;0)))</formula>
    </cfRule>
    <cfRule type="expression" dxfId="8" priority="5">
      <formula>IF(C31=0,"",IF(C32&gt;1,"",IF(K32=0,N32&lt;&gt;0)))</formula>
    </cfRule>
  </conditionalFormatting>
  <conditionalFormatting sqref="R23:R28">
    <cfRule type="expression" dxfId="7" priority="10">
      <formula>IF(C21=0,"",IF(C27&gt;1,"",IF(K27=0,N27&lt;&gt;0)))</formula>
    </cfRule>
    <cfRule type="expression" dxfId="6" priority="11">
      <formula>IF(C21=0,"",IF(C26&gt;1,"",IF(K26=0,N26&lt;&gt;0)))</formula>
    </cfRule>
    <cfRule type="expression" dxfId="5" priority="12">
      <formula>IF(C21=0,"",IF(C25&gt;1,"",IF(K25=0,N25&lt;&gt;0)))</formula>
    </cfRule>
    <cfRule type="expression" dxfId="4" priority="13">
      <formula>IF(C21=0,"",IF(C23&gt;1,"",IF(K23=0,N23&lt;&gt;0)))</formula>
    </cfRule>
    <cfRule type="expression" dxfId="3" priority="14">
      <formula>IF(C21=0,"",IF(C22&gt;1,"",IF(K22=0,N22&lt;&gt;0)))</formula>
    </cfRule>
  </conditionalFormatting>
  <conditionalFormatting sqref="R23:R29">
    <cfRule type="expression" dxfId="2" priority="1">
      <formula>IF(C21=0,"",IF(C24&gt;1,"",IF(K24=0,N24&lt;&gt;0)))</formula>
    </cfRule>
  </conditionalFormatting>
  <dataValidations count="2">
    <dataValidation type="decimal" operator="lessThan" allowBlank="1" showInputMessage="1" showErrorMessage="1" error="Beloppen ska vara i 1000 tal kronor" sqref="E58:M58 I29:I30 J29:J31 I21 G43 E50:M56 C32:J36 C22:J28 C13:J20 C29:H31" xr:uid="{00000000-0002-0000-0900-000000000000}">
      <formula1>99999999</formula1>
    </dataValidation>
    <dataValidation type="decimal" operator="lessThan" allowBlank="1" showInputMessage="1" showErrorMessage="1" error="Beloppet ska vara i 1000 tal kr" sqref="I31" xr:uid="{00000000-0002-0000-0900-000001000000}">
      <formula1>99999999</formula1>
    </dataValidation>
  </dataValidations>
  <pageMargins left="0.43" right="0.17" top="0.43" bottom="0.15748031496062992" header="0.21" footer="0.31496062992125984"/>
  <pageSetup paperSize="9" scale="70" orientation="landscape" r:id="rId4"/>
  <headerFooter>
    <oddHeader>&amp;L&amp;8Statistiska Centralbyrån
Offentlig ekonomi&amp;R&amp;P</oddHead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3">
    <tabColor rgb="FFFFFF00"/>
  </sheetPr>
  <dimension ref="A1:S38"/>
  <sheetViews>
    <sheetView showGridLines="0" zoomScaleNormal="100" workbookViewId="0">
      <pane xSplit="2" ySplit="11" topLeftCell="C12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12.75" zeroHeight="1"/>
  <cols>
    <col min="1" max="1" width="5.5703125" style="282" customWidth="1"/>
    <col min="2" max="2" width="34.140625" style="1797" customWidth="1"/>
    <col min="3" max="3" width="9.42578125" style="1797" customWidth="1"/>
    <col min="4" max="4" width="8.5703125" style="1797" customWidth="1"/>
    <col min="5" max="5" width="10.42578125" style="1797" customWidth="1"/>
    <col min="6" max="6" width="10.5703125" style="1797" customWidth="1"/>
    <col min="7" max="7" width="9.42578125" style="1797" customWidth="1"/>
    <col min="8" max="8" width="11.5703125" style="1797" customWidth="1"/>
    <col min="9" max="9" width="8.5703125" style="1797" customWidth="1"/>
    <col min="10" max="10" width="14.42578125" style="1797" customWidth="1"/>
    <col min="11" max="11" width="9.5703125" style="285" customWidth="1"/>
    <col min="12" max="12" width="1" style="285" customWidth="1"/>
    <col min="13" max="14" width="10.42578125" style="285" customWidth="1"/>
    <col min="15" max="19" width="9.140625" style="285" customWidth="1"/>
    <col min="20" max="16384" width="0" style="285" hidden="1"/>
  </cols>
  <sheetData>
    <row r="1" spans="1:19" s="1772" customFormat="1" ht="21.75">
      <c r="A1" s="77" t="str">
        <f>"Specificering individ- och familjeomsorg "&amp;År&amp;", miljoner kronor"</f>
        <v>Specificering individ- och familjeomsorg 2021, miljoner kronor</v>
      </c>
      <c r="B1" s="78"/>
      <c r="C1" s="78"/>
      <c r="D1" s="78"/>
      <c r="E1" s="283"/>
      <c r="F1" s="283"/>
      <c r="G1" s="283"/>
      <c r="H1" s="283"/>
      <c r="I1" s="522" t="s">
        <v>457</v>
      </c>
      <c r="J1" s="523" t="str">
        <f>Information!A2</f>
        <v>RIKSTOTAL</v>
      </c>
      <c r="K1" s="283"/>
      <c r="L1" s="283"/>
      <c r="M1" s="283"/>
      <c r="N1" s="283"/>
      <c r="O1" s="283"/>
      <c r="P1" s="283"/>
      <c r="Q1" s="283"/>
      <c r="R1" s="283"/>
      <c r="S1" s="283"/>
    </row>
    <row r="2" spans="1:19" s="284" customFormat="1" ht="12.75" customHeight="1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7"/>
      <c r="P2" s="2197"/>
      <c r="Q2" s="2197"/>
      <c r="R2" s="2197"/>
      <c r="S2" s="2197"/>
    </row>
    <row r="3" spans="1:19" s="1772" customFormat="1" ht="12.75" customHeight="1" thickBo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</row>
    <row r="4" spans="1:19" s="286" customFormat="1" ht="18" customHeight="1">
      <c r="A4" s="656" t="s">
        <v>622</v>
      </c>
      <c r="B4" s="1773" t="s">
        <v>15</v>
      </c>
      <c r="C4" s="1770"/>
      <c r="D4" s="1930"/>
      <c r="E4" s="1930"/>
      <c r="F4" s="1769"/>
      <c r="G4" s="1770"/>
      <c r="H4" s="1774" t="s">
        <v>949</v>
      </c>
      <c r="I4" s="1603" t="s">
        <v>959</v>
      </c>
      <c r="J4" s="1604"/>
      <c r="K4" s="2628" t="str">
        <f>"Förändring kostnader för eget åtagande "&amp;År-1&amp;"-"&amp;År&amp;" procent"</f>
        <v>Förändring kostnader för eget åtagande 2020-2021 procent</v>
      </c>
      <c r="L4" s="2197"/>
      <c r="M4" s="2434"/>
      <c r="N4" s="2445"/>
      <c r="O4" s="2197"/>
      <c r="P4" s="2197"/>
      <c r="Q4" s="2197"/>
      <c r="R4" s="2197"/>
      <c r="S4" s="2197"/>
    </row>
    <row r="5" spans="1:19" s="286" customFormat="1" ht="15" customHeight="1">
      <c r="A5" s="658" t="s">
        <v>625</v>
      </c>
      <c r="B5" s="1564"/>
      <c r="C5" s="1361" t="s">
        <v>41</v>
      </c>
      <c r="D5" s="1361"/>
      <c r="E5" s="1361"/>
      <c r="F5" s="1771"/>
      <c r="G5" s="1771"/>
      <c r="H5" s="1614" t="s">
        <v>964</v>
      </c>
      <c r="I5" s="1605" t="s">
        <v>956</v>
      </c>
      <c r="J5" s="1606"/>
      <c r="K5" s="2629"/>
      <c r="L5" s="2197"/>
      <c r="M5" s="2435"/>
      <c r="N5" s="2446"/>
      <c r="O5" s="2197"/>
      <c r="P5" s="2197"/>
      <c r="Q5" s="2197"/>
      <c r="R5" s="2197"/>
      <c r="S5" s="2197"/>
    </row>
    <row r="6" spans="1:19" s="286" customFormat="1" ht="24" customHeight="1">
      <c r="A6" s="1198"/>
      <c r="B6" s="1776"/>
      <c r="C6" s="1361" t="s">
        <v>43</v>
      </c>
      <c r="D6" s="2623" t="s">
        <v>1027</v>
      </c>
      <c r="E6" s="2623" t="s">
        <v>1033</v>
      </c>
      <c r="F6" s="2625" t="s">
        <v>147</v>
      </c>
      <c r="G6" s="2621" t="s">
        <v>1123</v>
      </c>
      <c r="H6" s="1615" t="s">
        <v>963</v>
      </c>
      <c r="I6" s="1777"/>
      <c r="J6" s="1778"/>
      <c r="K6" s="2629"/>
      <c r="L6" s="2197"/>
      <c r="M6" s="2436" t="str">
        <f>"Nämnare nyckeltal"</f>
        <v>Nämnare nyckeltal</v>
      </c>
      <c r="N6" s="2447"/>
      <c r="O6" s="2197"/>
      <c r="P6" s="2197"/>
      <c r="Q6" s="2197"/>
      <c r="R6" s="2197"/>
      <c r="S6" s="2197"/>
    </row>
    <row r="7" spans="1:19" s="286" customFormat="1" ht="27.75" customHeight="1">
      <c r="A7" s="1058"/>
      <c r="B7" s="1779"/>
      <c r="C7" s="1361"/>
      <c r="D7" s="2624"/>
      <c r="E7" s="2624"/>
      <c r="F7" s="2626"/>
      <c r="G7" s="2621"/>
      <c r="H7" s="1601" t="s">
        <v>1124</v>
      </c>
      <c r="I7" s="1617" t="s">
        <v>962</v>
      </c>
      <c r="J7" s="1616" t="s">
        <v>962</v>
      </c>
      <c r="K7" s="2423"/>
      <c r="L7" s="2197"/>
      <c r="M7" s="2436"/>
      <c r="N7" s="2447"/>
      <c r="O7" s="2197"/>
      <c r="P7" s="2197"/>
      <c r="Q7" s="2197"/>
      <c r="R7" s="2197"/>
      <c r="S7" s="2197"/>
    </row>
    <row r="8" spans="1:19" s="286" customFormat="1" ht="12" customHeight="1">
      <c r="A8" s="1198"/>
      <c r="B8" s="1780"/>
      <c r="C8" s="1771"/>
      <c r="D8" s="2624"/>
      <c r="E8" s="2624"/>
      <c r="F8" s="2626"/>
      <c r="G8" s="2627"/>
      <c r="H8" s="2031" t="s">
        <v>1125</v>
      </c>
      <c r="I8" s="1139">
        <f>År</f>
        <v>2021</v>
      </c>
      <c r="J8" s="1139">
        <f>År-1</f>
        <v>2020</v>
      </c>
      <c r="K8" s="2424"/>
      <c r="L8" s="2197"/>
      <c r="M8" s="2437"/>
      <c r="N8" s="2448"/>
      <c r="O8" s="2197"/>
      <c r="P8" s="2197"/>
      <c r="Q8" s="2197"/>
      <c r="R8" s="2197"/>
      <c r="S8" s="2197"/>
    </row>
    <row r="9" spans="1:19" s="286" customFormat="1" ht="21" customHeight="1">
      <c r="A9" s="1198"/>
      <c r="B9" s="1780"/>
      <c r="C9" s="1771"/>
      <c r="D9" s="2621" t="s">
        <v>1144</v>
      </c>
      <c r="E9" s="1799" t="s">
        <v>810</v>
      </c>
      <c r="F9" s="1771"/>
      <c r="G9" s="2142" t="s">
        <v>1122</v>
      </c>
      <c r="H9" s="1602" t="s">
        <v>1120</v>
      </c>
      <c r="I9" s="1781"/>
      <c r="J9" s="1781"/>
      <c r="K9" s="2425"/>
      <c r="L9" s="2197"/>
      <c r="M9" s="2437"/>
      <c r="N9" s="2448"/>
      <c r="O9" s="2197"/>
      <c r="P9" s="2197"/>
      <c r="Q9" s="2197"/>
      <c r="R9" s="2197"/>
      <c r="S9" s="2197"/>
    </row>
    <row r="10" spans="1:19" s="286" customFormat="1" ht="18.75" customHeight="1">
      <c r="A10" s="1198"/>
      <c r="B10" s="1780"/>
      <c r="C10" s="1771"/>
      <c r="D10" s="2620"/>
      <c r="E10" s="1771"/>
      <c r="F10" s="1771"/>
      <c r="G10" s="1771"/>
      <c r="H10" s="1602" t="s">
        <v>1219</v>
      </c>
      <c r="I10" s="1607"/>
      <c r="J10" s="1607"/>
      <c r="K10" s="2425"/>
      <c r="L10" s="2197"/>
      <c r="M10" s="2437"/>
      <c r="N10" s="2448"/>
      <c r="O10" s="2197"/>
      <c r="P10" s="2197"/>
      <c r="Q10" s="2197"/>
      <c r="R10" s="2197"/>
      <c r="S10" s="2197"/>
    </row>
    <row r="11" spans="1:19" s="286" customFormat="1" ht="13.5" customHeight="1">
      <c r="A11" s="1199"/>
      <c r="B11" s="1782"/>
      <c r="C11" s="1207"/>
      <c r="D11" s="2622"/>
      <c r="E11" s="1207"/>
      <c r="F11" s="1207"/>
      <c r="G11" s="1586"/>
      <c r="H11" s="2056"/>
      <c r="I11" s="1208"/>
      <c r="J11" s="1208"/>
      <c r="K11" s="2426"/>
      <c r="L11" s="2197"/>
      <c r="M11" s="2438"/>
      <c r="N11" s="2449"/>
      <c r="O11" s="2197"/>
      <c r="P11" s="2197"/>
      <c r="Q11" s="2197"/>
      <c r="R11" s="2197"/>
      <c r="S11" s="2197"/>
    </row>
    <row r="12" spans="1:19" s="286" customFormat="1">
      <c r="A12" s="1200">
        <v>559</v>
      </c>
      <c r="B12" s="1783" t="s">
        <v>488</v>
      </c>
      <c r="C12" s="1784">
        <f>Drift!P79</f>
        <v>9171.1039999999994</v>
      </c>
      <c r="D12" s="2033">
        <f>SUM(Drift!C79:D79)</f>
        <v>3675.3249999999998</v>
      </c>
      <c r="E12" s="1784">
        <f>Drift!F79</f>
        <v>3137.759</v>
      </c>
      <c r="F12" s="1784">
        <f>Drift!V79</f>
        <v>481.47399999999999</v>
      </c>
      <c r="G12" s="1785">
        <f>Motpart!Y31+Motpart!Z31</f>
        <v>50.338999999999999</v>
      </c>
      <c r="H12" s="1209">
        <f t="shared" ref="H12:H18" si="0">C12-F12-G12</f>
        <v>8639.2909999999993</v>
      </c>
      <c r="I12" s="1210">
        <f>IF(C12&gt;0,H12*1000000/M12,"")</f>
        <v>1491.6791487061989</v>
      </c>
      <c r="J12" s="1210">
        <v>1458.53</v>
      </c>
      <c r="K12" s="2427">
        <f>IF(ISERROR((I12-J12)/J12),"",((I12-J12)/J12))</f>
        <v>2.2727779823657351E-2</v>
      </c>
      <c r="L12" s="2197"/>
      <c r="M12" s="2439">
        <v>5791655</v>
      </c>
      <c r="N12" s="2450" t="s">
        <v>513</v>
      </c>
      <c r="O12" s="2197"/>
      <c r="P12" s="2197"/>
      <c r="Q12" s="2197"/>
      <c r="R12" s="2197"/>
      <c r="S12" s="2197"/>
    </row>
    <row r="13" spans="1:19" s="286" customFormat="1">
      <c r="A13" s="1201">
        <v>552</v>
      </c>
      <c r="B13" s="1564" t="s">
        <v>438</v>
      </c>
      <c r="C13" s="54">
        <v>3495.2150000000001</v>
      </c>
      <c r="D13" s="54">
        <v>863.15700000000004</v>
      </c>
      <c r="E13" s="1775">
        <v>2122.5610000000001</v>
      </c>
      <c r="F13" s="54">
        <v>80.843999999999994</v>
      </c>
      <c r="G13" s="1775">
        <f>Motpart!Y32+Motpart!Z32</f>
        <v>25.856999999999999</v>
      </c>
      <c r="H13" s="1211">
        <f t="shared" si="0"/>
        <v>3388.5140000000001</v>
      </c>
      <c r="I13" s="1212">
        <f>IF(C13&gt;0,H13*1000000/M12,"")</f>
        <v>585.06834402256345</v>
      </c>
      <c r="J13" s="1212">
        <v>577.05999999999995</v>
      </c>
      <c r="K13" s="2428">
        <f t="shared" ref="K13:K18" si="1">IF(ISERROR((I13-J13)/J13),"",((I13-J13)/J13))</f>
        <v>1.3877835966040804E-2</v>
      </c>
      <c r="L13" s="2197"/>
      <c r="M13" s="2440"/>
      <c r="N13" s="2451"/>
      <c r="O13" s="2197"/>
      <c r="P13" s="2197"/>
      <c r="Q13" s="2197"/>
      <c r="R13" s="2197"/>
      <c r="S13" s="2197"/>
    </row>
    <row r="14" spans="1:19" s="286" customFormat="1">
      <c r="A14" s="1201">
        <v>556</v>
      </c>
      <c r="B14" s="1786" t="s">
        <v>494</v>
      </c>
      <c r="C14" s="54">
        <v>158.00800000000001</v>
      </c>
      <c r="D14" s="54">
        <v>48.991</v>
      </c>
      <c r="E14" s="54">
        <v>81.450999999999993</v>
      </c>
      <c r="F14" s="54">
        <v>2.9060000000000001</v>
      </c>
      <c r="G14" s="54">
        <v>0.20699999999999999</v>
      </c>
      <c r="H14" s="1211">
        <f t="shared" si="0"/>
        <v>154.89500000000001</v>
      </c>
      <c r="I14" s="1212">
        <f>IF(C14&gt;0,H14*1000000/M12,"")</f>
        <v>26.744514305496441</v>
      </c>
      <c r="J14" s="1212">
        <v>27.053999999999998</v>
      </c>
      <c r="K14" s="2428">
        <f t="shared" si="1"/>
        <v>-1.1439554021717948E-2</v>
      </c>
      <c r="L14" s="2197"/>
      <c r="M14" s="2440"/>
      <c r="N14" s="2451"/>
      <c r="O14" s="2197"/>
      <c r="P14" s="2197"/>
      <c r="Q14" s="2197"/>
      <c r="R14" s="2197"/>
      <c r="S14" s="2197"/>
    </row>
    <row r="15" spans="1:19" s="286" customFormat="1">
      <c r="A15" s="1201">
        <v>5581</v>
      </c>
      <c r="B15" s="1786" t="s">
        <v>162</v>
      </c>
      <c r="C15" s="54">
        <v>3140.4670000000001</v>
      </c>
      <c r="D15" s="54">
        <v>1256.729</v>
      </c>
      <c r="E15" s="54">
        <v>695.58399999999995</v>
      </c>
      <c r="F15" s="54">
        <v>279.21699999999998</v>
      </c>
      <c r="G15" s="54">
        <v>8.8559999999999999</v>
      </c>
      <c r="H15" s="1211">
        <f t="shared" si="0"/>
        <v>2852.3939999999998</v>
      </c>
      <c r="I15" s="1213">
        <f>IF(C15&gt;0,H15*1000000/M12,"")</f>
        <v>492.50067554092914</v>
      </c>
      <c r="J15" s="1213">
        <v>489.73700000000002</v>
      </c>
      <c r="K15" s="2428">
        <f t="shared" si="1"/>
        <v>5.6431830572922078E-3</v>
      </c>
      <c r="L15" s="2197"/>
      <c r="M15" s="2440"/>
      <c r="N15" s="2451"/>
      <c r="O15" s="2197"/>
      <c r="P15" s="2197"/>
      <c r="Q15" s="2197"/>
      <c r="R15" s="2197"/>
      <c r="S15" s="2197"/>
    </row>
    <row r="16" spans="1:19" s="286" customFormat="1">
      <c r="A16" s="1201">
        <v>5582</v>
      </c>
      <c r="B16" s="1786" t="s">
        <v>161</v>
      </c>
      <c r="C16" s="54">
        <v>1414.367</v>
      </c>
      <c r="D16" s="54">
        <v>908.62400000000002</v>
      </c>
      <c r="E16" s="54">
        <v>146.875</v>
      </c>
      <c r="F16" s="54">
        <v>56.494999999999997</v>
      </c>
      <c r="G16" s="54">
        <v>7.87</v>
      </c>
      <c r="H16" s="1211">
        <f t="shared" si="0"/>
        <v>1350.0020000000002</v>
      </c>
      <c r="I16" s="1212">
        <f>IF(C16&gt;0,H16*1000000/M12,"")</f>
        <v>233.09434004615264</v>
      </c>
      <c r="J16" s="1212">
        <v>221.554</v>
      </c>
      <c r="K16" s="2428">
        <f t="shared" si="1"/>
        <v>5.2088159302710109E-2</v>
      </c>
      <c r="L16" s="2197"/>
      <c r="M16" s="2440"/>
      <c r="N16" s="2451"/>
      <c r="O16" s="2197"/>
      <c r="P16" s="2197"/>
      <c r="Q16" s="2197"/>
      <c r="R16" s="2197"/>
      <c r="S16" s="2197"/>
    </row>
    <row r="17" spans="1:19" s="286" customFormat="1">
      <c r="A17" s="1201">
        <v>5583</v>
      </c>
      <c r="B17" s="1786" t="s">
        <v>163</v>
      </c>
      <c r="C17" s="54">
        <v>963.04499999999996</v>
      </c>
      <c r="D17" s="54">
        <v>597.81700000000001</v>
      </c>
      <c r="E17" s="54">
        <v>91.287999999999997</v>
      </c>
      <c r="F17" s="54">
        <v>62.009</v>
      </c>
      <c r="G17" s="54">
        <v>7.548</v>
      </c>
      <c r="H17" s="1211">
        <f t="shared" si="0"/>
        <v>893.48799999999994</v>
      </c>
      <c r="I17" s="1212">
        <f>IF(C17&gt;0,H17*1000000/M12,"")</f>
        <v>154.27162011549376</v>
      </c>
      <c r="J17" s="1213">
        <v>143.126</v>
      </c>
      <c r="K17" s="2428">
        <f t="shared" si="1"/>
        <v>7.7872784228538175E-2</v>
      </c>
      <c r="L17" s="2197"/>
      <c r="M17" s="2440"/>
      <c r="N17" s="2451"/>
      <c r="O17" s="2197"/>
      <c r="P17" s="2197"/>
      <c r="Q17" s="2197"/>
      <c r="R17" s="2197"/>
      <c r="S17" s="2197"/>
    </row>
    <row r="18" spans="1:19" s="286" customFormat="1">
      <c r="A18" s="1202">
        <v>558</v>
      </c>
      <c r="B18" s="1787" t="s">
        <v>199</v>
      </c>
      <c r="C18" s="326">
        <f>SUM(C15:C17)</f>
        <v>5517.8789999999999</v>
      </c>
      <c r="D18" s="326">
        <f>SUM(D15:D17)</f>
        <v>2763.17</v>
      </c>
      <c r="E18" s="326">
        <f>SUM(E15:E17)</f>
        <v>933.74699999999996</v>
      </c>
      <c r="F18" s="326">
        <f>SUM(F15:F17)</f>
        <v>397.721</v>
      </c>
      <c r="G18" s="326">
        <f>SUM(G15:G17)</f>
        <v>24.274000000000001</v>
      </c>
      <c r="H18" s="1211">
        <f t="shared" si="0"/>
        <v>5095.8839999999991</v>
      </c>
      <c r="I18" s="1212">
        <f>IF(C18&gt;0,H18*1000000/M12,"")</f>
        <v>879.86663570257531</v>
      </c>
      <c r="J18" s="1212">
        <v>854.41700000000003</v>
      </c>
      <c r="K18" s="2428">
        <f t="shared" si="1"/>
        <v>2.9785965989177741E-2</v>
      </c>
      <c r="L18" s="2197"/>
      <c r="M18" s="2440"/>
      <c r="N18" s="2451"/>
      <c r="O18" s="2197"/>
      <c r="P18" s="2197"/>
      <c r="Q18" s="2197"/>
      <c r="R18" s="2197"/>
      <c r="S18" s="2197"/>
    </row>
    <row r="19" spans="1:19" s="174" customFormat="1">
      <c r="A19" s="1203">
        <v>55999</v>
      </c>
      <c r="B19" s="1787" t="s">
        <v>204</v>
      </c>
      <c r="C19" s="326">
        <f>C13+C14+C15+C16+C17</f>
        <v>9171.1020000000008</v>
      </c>
      <c r="D19" s="326">
        <f>D13+D14+D15+D16+D17</f>
        <v>3675.3180000000002</v>
      </c>
      <c r="E19" s="326">
        <f>E13+E14+E15+E16+E17</f>
        <v>3137.759</v>
      </c>
      <c r="F19" s="326">
        <f>F13+F14+F15+F16+F17</f>
        <v>481.471</v>
      </c>
      <c r="G19" s="326">
        <f>G13+G14+G15+G16+G17</f>
        <v>50.338000000000001</v>
      </c>
      <c r="H19" s="1214"/>
      <c r="I19" s="1215"/>
      <c r="J19" s="1215"/>
      <c r="K19" s="2429"/>
      <c r="L19" s="2197"/>
      <c r="M19" s="2440"/>
      <c r="N19" s="2451"/>
      <c r="O19" s="2197"/>
      <c r="P19" s="2197"/>
      <c r="Q19" s="2197"/>
      <c r="R19" s="2197"/>
      <c r="S19" s="2197"/>
    </row>
    <row r="20" spans="1:19" s="174" customFormat="1" ht="13.5" thickBot="1">
      <c r="A20" s="2415"/>
      <c r="B20" s="2414"/>
      <c r="C20" s="2414"/>
      <c r="D20" s="2414"/>
      <c r="E20" s="2414"/>
      <c r="F20" s="2414"/>
      <c r="G20" s="2414"/>
      <c r="H20" s="2414"/>
      <c r="I20" s="2414"/>
      <c r="J20" s="2414"/>
      <c r="K20" s="2430"/>
      <c r="L20" s="2197"/>
      <c r="M20" s="2441"/>
      <c r="N20" s="2452"/>
      <c r="O20" s="2197"/>
      <c r="P20" s="2197"/>
      <c r="Q20" s="2197"/>
      <c r="R20" s="2197"/>
      <c r="S20" s="2197"/>
    </row>
    <row r="21" spans="1:19" s="286" customFormat="1">
      <c r="A21" s="2416">
        <v>569</v>
      </c>
      <c r="B21" s="1788" t="s">
        <v>489</v>
      </c>
      <c r="C21" s="1789">
        <f>Drift!P80</f>
        <v>26452.227000000003</v>
      </c>
      <c r="D21" s="2034">
        <f>SUM(Drift!C80:D80)</f>
        <v>13105.664000000001</v>
      </c>
      <c r="E21" s="1789">
        <f>Drift!F80</f>
        <v>8767.4410000000007</v>
      </c>
      <c r="F21" s="1789">
        <f>Drift!V80</f>
        <v>703.64499999999998</v>
      </c>
      <c r="G21" s="1790">
        <f>Motpart!Y33+Motpart!Z33</f>
        <v>156.029</v>
      </c>
      <c r="H21" s="1217">
        <f t="shared" ref="H21:H26" si="2">C21-F21-G21</f>
        <v>25592.553000000004</v>
      </c>
      <c r="I21" s="1212">
        <f>IF(C21&gt;0,H21*1000000/M21,"")</f>
        <v>10068.257074910354</v>
      </c>
      <c r="J21" s="1212">
        <v>9617.2090000000007</v>
      </c>
      <c r="K21" s="2431">
        <f t="shared" ref="K21:K26" si="3">IF(ISERROR((I21-J21)/J21),"",((I21-J21)/J21))</f>
        <v>4.6900101153084385E-2</v>
      </c>
      <c r="L21" s="2197"/>
      <c r="M21" s="2442">
        <v>2541905</v>
      </c>
      <c r="N21" s="2453" t="s">
        <v>515</v>
      </c>
      <c r="O21" s="2197"/>
      <c r="P21" s="2197"/>
      <c r="Q21" s="2197"/>
      <c r="R21" s="2197"/>
      <c r="S21" s="2197"/>
    </row>
    <row r="22" spans="1:19" s="286" customFormat="1" ht="12.6" customHeight="1">
      <c r="A22" s="2417">
        <v>554</v>
      </c>
      <c r="B22" s="1791" t="s">
        <v>200</v>
      </c>
      <c r="C22" s="54">
        <v>9053.4120000000003</v>
      </c>
      <c r="D22" s="54">
        <v>2463.63</v>
      </c>
      <c r="E22" s="1775">
        <v>5425.5209999999997</v>
      </c>
      <c r="F22" s="54">
        <v>258.64499999999998</v>
      </c>
      <c r="G22" s="1775">
        <f>Motpart!Y34+Motpart!Z34</f>
        <v>51.399000000000001</v>
      </c>
      <c r="H22" s="1217">
        <f t="shared" si="2"/>
        <v>8743.3680000000004</v>
      </c>
      <c r="I22" s="1212">
        <f>IF(C22&gt;0,H22*1000000/M21,"")</f>
        <v>3439.6910978183687</v>
      </c>
      <c r="J22" s="1212">
        <v>3322.8069999999998</v>
      </c>
      <c r="K22" s="2428">
        <f t="shared" si="3"/>
        <v>3.5176312623143295E-2</v>
      </c>
      <c r="L22" s="2197"/>
      <c r="M22" s="2440"/>
      <c r="N22" s="2451"/>
      <c r="O22" s="2197"/>
      <c r="P22" s="2197"/>
      <c r="Q22" s="2197"/>
      <c r="R22" s="2197"/>
      <c r="S22" s="2197"/>
    </row>
    <row r="23" spans="1:19" s="286" customFormat="1">
      <c r="A23" s="2417">
        <v>557</v>
      </c>
      <c r="B23" s="1791" t="s">
        <v>166</v>
      </c>
      <c r="C23" s="54">
        <v>9761.8369999999995</v>
      </c>
      <c r="D23" s="54">
        <v>5545.6369999999997</v>
      </c>
      <c r="E23" s="54">
        <v>2592.12</v>
      </c>
      <c r="F23" s="54">
        <v>121.386</v>
      </c>
      <c r="G23" s="54">
        <v>34.130000000000003</v>
      </c>
      <c r="H23" s="1217">
        <f t="shared" si="2"/>
        <v>9606.3209999999999</v>
      </c>
      <c r="I23" s="1212">
        <f>IF(C23&gt;0,H23*1000000/M21,"")</f>
        <v>3779.1817554157215</v>
      </c>
      <c r="J23" s="1212">
        <v>3522.5650000000001</v>
      </c>
      <c r="K23" s="2428">
        <f t="shared" si="3"/>
        <v>7.2849402471131516E-2</v>
      </c>
      <c r="L23" s="2197"/>
      <c r="M23" s="2440"/>
      <c r="N23" s="2451"/>
      <c r="O23" s="2197"/>
      <c r="P23" s="2197"/>
      <c r="Q23" s="2197"/>
      <c r="R23" s="2197"/>
      <c r="S23" s="2197"/>
    </row>
    <row r="24" spans="1:19" s="286" customFormat="1">
      <c r="A24" s="2417">
        <v>5681</v>
      </c>
      <c r="B24" s="1791" t="s">
        <v>161</v>
      </c>
      <c r="C24" s="54">
        <v>4613.5720000000001</v>
      </c>
      <c r="D24" s="54">
        <v>3039.1990000000001</v>
      </c>
      <c r="E24" s="54">
        <v>560.28499999999997</v>
      </c>
      <c r="F24" s="54">
        <v>133.97399999999999</v>
      </c>
      <c r="G24" s="54">
        <v>29.471</v>
      </c>
      <c r="H24" s="1217">
        <f t="shared" si="2"/>
        <v>4450.1270000000004</v>
      </c>
      <c r="I24" s="1212">
        <f>IF(C24&gt;0,H24*1000000/M21,"")</f>
        <v>1750.7054748308847</v>
      </c>
      <c r="J24" s="1212">
        <v>1745.3019999999999</v>
      </c>
      <c r="K24" s="2428">
        <f t="shared" si="3"/>
        <v>3.0960113670211583E-3</v>
      </c>
      <c r="L24" s="2197"/>
      <c r="M24" s="2440"/>
      <c r="N24" s="2451"/>
      <c r="O24" s="2197"/>
      <c r="P24" s="2197"/>
      <c r="Q24" s="2197"/>
      <c r="R24" s="2197"/>
      <c r="S24" s="2197"/>
    </row>
    <row r="25" spans="1:19" s="286" customFormat="1">
      <c r="A25" s="2417">
        <v>5682</v>
      </c>
      <c r="B25" s="1791" t="s">
        <v>163</v>
      </c>
      <c r="C25" s="54">
        <v>3023.413</v>
      </c>
      <c r="D25" s="54">
        <v>2057.192</v>
      </c>
      <c r="E25" s="54">
        <v>189.50899999999999</v>
      </c>
      <c r="F25" s="54">
        <v>189.63499999999999</v>
      </c>
      <c r="G25" s="55">
        <v>41.03</v>
      </c>
      <c r="H25" s="1217">
        <f t="shared" si="2"/>
        <v>2792.748</v>
      </c>
      <c r="I25" s="1212">
        <f>IF(C25&gt;0,H25*1000000/M21,"")</f>
        <v>1098.683074308442</v>
      </c>
      <c r="J25" s="1212">
        <v>1026.539</v>
      </c>
      <c r="K25" s="2428">
        <f t="shared" si="3"/>
        <v>7.0278941480491228E-2</v>
      </c>
      <c r="L25" s="2197"/>
      <c r="M25" s="2440"/>
      <c r="N25" s="2451"/>
      <c r="O25" s="2197"/>
      <c r="P25" s="2197"/>
      <c r="Q25" s="2197"/>
      <c r="R25" s="2197"/>
      <c r="S25" s="2197"/>
    </row>
    <row r="26" spans="1:19" s="286" customFormat="1">
      <c r="A26" s="2418">
        <v>568</v>
      </c>
      <c r="B26" s="1792" t="s">
        <v>206</v>
      </c>
      <c r="C26" s="326">
        <f>SUM(C24:C25)</f>
        <v>7636.9850000000006</v>
      </c>
      <c r="D26" s="326">
        <f>SUM(D24:D25)</f>
        <v>5096.3909999999996</v>
      </c>
      <c r="E26" s="326">
        <f>SUM(E24:E25)</f>
        <v>749.79399999999998</v>
      </c>
      <c r="F26" s="326">
        <f>SUM(F24:F25)</f>
        <v>323.60899999999998</v>
      </c>
      <c r="G26" s="326">
        <f>SUM(G24:G25)</f>
        <v>70.501000000000005</v>
      </c>
      <c r="H26" s="1217">
        <f t="shared" si="2"/>
        <v>7242.875</v>
      </c>
      <c r="I26" s="1212">
        <f>IF(C26&gt;0,H26*1000000/M21,"")</f>
        <v>2849.3885491393266</v>
      </c>
      <c r="J26" s="1212">
        <v>2771.8409999999999</v>
      </c>
      <c r="K26" s="2428">
        <f t="shared" si="3"/>
        <v>2.7976911063559113E-2</v>
      </c>
      <c r="L26" s="2197"/>
      <c r="M26" s="2440"/>
      <c r="N26" s="2451"/>
      <c r="O26" s="2197"/>
      <c r="P26" s="2197"/>
      <c r="Q26" s="2197"/>
      <c r="R26" s="2197"/>
      <c r="S26" s="2197"/>
    </row>
    <row r="27" spans="1:19" s="286" customFormat="1">
      <c r="A27" s="2418">
        <v>56999</v>
      </c>
      <c r="B27" s="1787" t="s">
        <v>167</v>
      </c>
      <c r="C27" s="326">
        <f>SUM(C22+C23+C24+C25)</f>
        <v>26452.234</v>
      </c>
      <c r="D27" s="326">
        <f>SUM(D22+D23+D24+D25)</f>
        <v>13105.657999999999</v>
      </c>
      <c r="E27" s="326">
        <f>SUM(E22+E23+E24+E25)</f>
        <v>8767.4349999999995</v>
      </c>
      <c r="F27" s="326">
        <f>SUM(F22+F23+F24+F25)</f>
        <v>703.63999999999987</v>
      </c>
      <c r="G27" s="326">
        <f>SUM(G22+G23+G24+G25)</f>
        <v>156.03</v>
      </c>
      <c r="H27" s="1214"/>
      <c r="I27" s="1215"/>
      <c r="J27" s="1215"/>
      <c r="K27" s="2429"/>
      <c r="L27" s="2197"/>
      <c r="M27" s="2440"/>
      <c r="N27" s="2451"/>
      <c r="O27" s="2197"/>
      <c r="P27" s="2197"/>
      <c r="Q27" s="2197"/>
      <c r="R27" s="2197"/>
      <c r="S27" s="2197"/>
    </row>
    <row r="28" spans="1:19" s="286" customFormat="1" ht="13.5" thickBot="1">
      <c r="A28" s="2419"/>
      <c r="B28" s="2414"/>
      <c r="C28" s="2414"/>
      <c r="D28" s="2414"/>
      <c r="E28" s="2414"/>
      <c r="F28" s="2414"/>
      <c r="G28" s="2414"/>
      <c r="H28" s="2414"/>
      <c r="I28" s="2414"/>
      <c r="J28" s="2414"/>
      <c r="K28" s="2430"/>
      <c r="L28" s="2197"/>
      <c r="M28" s="2440"/>
      <c r="N28" s="2451"/>
      <c r="O28" s="2197"/>
      <c r="P28" s="2197"/>
      <c r="Q28" s="2197"/>
      <c r="R28" s="2197"/>
      <c r="S28" s="2197"/>
    </row>
    <row r="29" spans="1:19" s="286" customFormat="1">
      <c r="A29" s="2420">
        <v>571</v>
      </c>
      <c r="B29" s="1791" t="s">
        <v>168</v>
      </c>
      <c r="C29" s="1789">
        <f>Drift!P81</f>
        <v>3397.6320000000001</v>
      </c>
      <c r="D29" s="2034">
        <f>SUM(Drift!C81:D81)</f>
        <v>1240.2740000000001</v>
      </c>
      <c r="E29" s="1789">
        <f>Drift!F81</f>
        <v>913.71400000000006</v>
      </c>
      <c r="F29" s="1789">
        <f>Drift!V81</f>
        <v>125.76600000000001</v>
      </c>
      <c r="G29" s="66">
        <v>48.195999999999998</v>
      </c>
      <c r="H29" s="1217">
        <f t="shared" ref="H29:H34" si="4">C29-F29-G29</f>
        <v>3223.67</v>
      </c>
      <c r="I29" s="1212">
        <f>IF(C29&gt;0,H29*1000000/M12,"")</f>
        <v>556.60601330707721</v>
      </c>
      <c r="J29" s="1212">
        <v>554.64</v>
      </c>
      <c r="K29" s="2431">
        <f t="shared" ref="K29:K34" si="5">IF(ISERROR((I29-J29)/J29),"",((I29-J29)/J29))</f>
        <v>3.5446655615844853E-3</v>
      </c>
      <c r="L29" s="2197"/>
      <c r="M29" s="2466"/>
      <c r="N29" s="2467"/>
      <c r="O29" s="2197"/>
      <c r="P29" s="2197"/>
      <c r="Q29" s="2197"/>
      <c r="R29" s="2197"/>
      <c r="S29" s="2197"/>
    </row>
    <row r="30" spans="1:19" s="286" customFormat="1">
      <c r="A30" s="2417">
        <v>575</v>
      </c>
      <c r="B30" s="1791" t="s">
        <v>107</v>
      </c>
      <c r="C30" s="1775">
        <f>Drift!P82</f>
        <v>15465.849</v>
      </c>
      <c r="D30" s="2035">
        <f>SUM(Drift!C82:D82)</f>
        <v>3231.4670000000001</v>
      </c>
      <c r="E30" s="1775">
        <f>Drift!F82</f>
        <v>46.576999999999998</v>
      </c>
      <c r="F30" s="1775">
        <f>Drift!V82</f>
        <v>137.78399999999999</v>
      </c>
      <c r="G30" s="54">
        <v>14.967000000000001</v>
      </c>
      <c r="H30" s="1217">
        <f t="shared" si="4"/>
        <v>15313.098</v>
      </c>
      <c r="I30" s="1212">
        <f>IF(C30&gt;0,H30*1000000/M30,"")</f>
        <v>1465.0421351190157</v>
      </c>
      <c r="J30" s="1212">
        <v>1485.607</v>
      </c>
      <c r="K30" s="2428">
        <f t="shared" si="5"/>
        <v>-1.3842735582818511E-2</v>
      </c>
      <c r="L30" s="2197"/>
      <c r="M30" s="2442">
        <v>10452326</v>
      </c>
      <c r="N30" s="2454" t="s">
        <v>516</v>
      </c>
      <c r="O30" s="2197"/>
      <c r="P30" s="2197"/>
      <c r="Q30" s="2197"/>
      <c r="R30" s="2197"/>
      <c r="S30" s="2197"/>
    </row>
    <row r="31" spans="1:19" s="286" customFormat="1" ht="13.5" thickBot="1">
      <c r="A31" s="2421">
        <v>580</v>
      </c>
      <c r="B31" s="1793" t="s">
        <v>171</v>
      </c>
      <c r="C31" s="80">
        <f>C12+C21+C29+C30</f>
        <v>54486.812000000005</v>
      </c>
      <c r="D31" s="80">
        <f>D12+D21+D29+D30</f>
        <v>21252.730000000003</v>
      </c>
      <c r="E31" s="80">
        <f>E12+E21+E29+E30</f>
        <v>12865.491</v>
      </c>
      <c r="F31" s="80">
        <f>F12+F21+F29+F30</f>
        <v>1448.6689999999999</v>
      </c>
      <c r="G31" s="80">
        <f>G12+G21+G29+G30</f>
        <v>269.53100000000001</v>
      </c>
      <c r="H31" s="1218">
        <f t="shared" si="4"/>
        <v>52768.612000000001</v>
      </c>
      <c r="I31" s="1219">
        <f>IF(C31&gt;0,H31*1000000/M30,"")</f>
        <v>5048.5042276714294</v>
      </c>
      <c r="J31" s="1219">
        <v>4945.7830000000004</v>
      </c>
      <c r="K31" s="2432">
        <f t="shared" si="5"/>
        <v>2.0769457065024689E-2</v>
      </c>
      <c r="L31" s="2197"/>
      <c r="M31" s="2441"/>
      <c r="N31" s="2468"/>
      <c r="O31" s="2197"/>
      <c r="P31" s="2197"/>
      <c r="Q31" s="2197"/>
      <c r="R31" s="2197"/>
      <c r="S31" s="2197"/>
    </row>
    <row r="32" spans="1:19" s="286" customFormat="1">
      <c r="A32" s="2418">
        <v>585</v>
      </c>
      <c r="B32" s="1792" t="s">
        <v>490</v>
      </c>
      <c r="C32" s="1775">
        <f>Drift!P84</f>
        <v>1172.3480000000002</v>
      </c>
      <c r="D32" s="2035">
        <f>SUM(Drift!C84:D84)</f>
        <v>787.31700000000001</v>
      </c>
      <c r="E32" s="1775">
        <f>Drift!F84</f>
        <v>155.71299999999999</v>
      </c>
      <c r="F32" s="1775">
        <f>Drift!V84</f>
        <v>32.021999999999998</v>
      </c>
      <c r="G32" s="326">
        <f>SUM(G33:G34)</f>
        <v>76.84</v>
      </c>
      <c r="H32" s="1217">
        <f t="shared" si="4"/>
        <v>1063.4860000000003</v>
      </c>
      <c r="I32" s="1212">
        <f>IF(C32&gt;0,H32*1000000/M32,"")</f>
        <v>483.78975907999143</v>
      </c>
      <c r="J32" s="1212">
        <v>464.98700000000002</v>
      </c>
      <c r="K32" s="2433">
        <f t="shared" si="5"/>
        <v>4.0437171533809338E-2</v>
      </c>
      <c r="L32" s="2197"/>
      <c r="M32" s="2442">
        <v>2198240</v>
      </c>
      <c r="N32" s="2454" t="s">
        <v>517</v>
      </c>
      <c r="O32" s="2197"/>
      <c r="P32" s="2197"/>
      <c r="Q32" s="2197"/>
      <c r="R32" s="2197"/>
      <c r="S32" s="2197"/>
    </row>
    <row r="33" spans="1:19" s="286" customFormat="1">
      <c r="A33" s="2417">
        <v>5851</v>
      </c>
      <c r="B33" s="1791" t="s">
        <v>169</v>
      </c>
      <c r="C33" s="54">
        <v>827.28700000000003</v>
      </c>
      <c r="D33" s="54">
        <v>604.93499999999995</v>
      </c>
      <c r="E33" s="54">
        <v>62.972999999999999</v>
      </c>
      <c r="F33" s="54">
        <v>20.904</v>
      </c>
      <c r="G33" s="54">
        <v>45.601999999999997</v>
      </c>
      <c r="H33" s="1217">
        <f t="shared" si="4"/>
        <v>760.78100000000006</v>
      </c>
      <c r="I33" s="1212">
        <f>IF(C33&gt;0,H33*1000000/M33,"")</f>
        <v>346.08641458621446</v>
      </c>
      <c r="J33" s="1212">
        <v>328.37200000000001</v>
      </c>
      <c r="K33" s="2428">
        <f t="shared" si="5"/>
        <v>5.3946178682148432E-2</v>
      </c>
      <c r="L33" s="2197"/>
      <c r="M33" s="2442">
        <v>2198240</v>
      </c>
      <c r="N33" s="2454" t="s">
        <v>517</v>
      </c>
      <c r="O33" s="2197"/>
      <c r="P33" s="2197"/>
      <c r="Q33" s="2197"/>
      <c r="R33" s="2197"/>
      <c r="S33" s="2197"/>
    </row>
    <row r="34" spans="1:19" s="286" customFormat="1">
      <c r="A34" s="2417">
        <v>5855</v>
      </c>
      <c r="B34" s="1791" t="s">
        <v>170</v>
      </c>
      <c r="C34" s="54">
        <v>345.06400000000002</v>
      </c>
      <c r="D34" s="54">
        <v>182.38800000000001</v>
      </c>
      <c r="E34" s="54">
        <v>92.747</v>
      </c>
      <c r="F34" s="54">
        <v>11.116</v>
      </c>
      <c r="G34" s="54">
        <v>31.238</v>
      </c>
      <c r="H34" s="1217">
        <f t="shared" si="4"/>
        <v>302.71000000000004</v>
      </c>
      <c r="I34" s="1212">
        <f>IF(C34&gt;0,H34*1000000/M34,"")</f>
        <v>45.346144281960719</v>
      </c>
      <c r="J34" s="1212">
        <v>45.055999999999997</v>
      </c>
      <c r="K34" s="2428">
        <f t="shared" si="5"/>
        <v>6.4396369398242448E-3</v>
      </c>
      <c r="L34" s="2197"/>
      <c r="M34" s="2442">
        <v>6675540</v>
      </c>
      <c r="N34" s="2454" t="s">
        <v>518</v>
      </c>
      <c r="O34" s="2197"/>
      <c r="P34" s="2197"/>
      <c r="Q34" s="2197"/>
      <c r="R34" s="2197"/>
      <c r="S34" s="2197"/>
    </row>
    <row r="35" spans="1:19" s="286" customFormat="1" ht="15" customHeight="1">
      <c r="A35" s="2422">
        <v>58599</v>
      </c>
      <c r="B35" s="1794" t="s">
        <v>514</v>
      </c>
      <c r="C35" s="326">
        <f>SUM(C33:C34)</f>
        <v>1172.3510000000001</v>
      </c>
      <c r="D35" s="326">
        <f>SUM(D33:D34)</f>
        <v>787.32299999999998</v>
      </c>
      <c r="E35" s="326">
        <f>SUM(E33:E34)</f>
        <v>155.72</v>
      </c>
      <c r="F35" s="326">
        <f>SUM(F33:F34)</f>
        <v>32.019999999999996</v>
      </c>
      <c r="G35" s="326">
        <f>SUM(G33:G34)</f>
        <v>76.84</v>
      </c>
      <c r="H35" s="2465"/>
      <c r="I35" s="1213"/>
      <c r="J35" s="1213"/>
      <c r="K35" s="2428"/>
      <c r="L35" s="2197"/>
      <c r="M35" s="2443"/>
      <c r="N35" s="2455"/>
      <c r="O35" s="2197"/>
      <c r="P35" s="2197"/>
      <c r="Q35" s="2197"/>
      <c r="R35" s="2197"/>
      <c r="S35" s="2197"/>
    </row>
    <row r="36" spans="1:19" s="286" customFormat="1" ht="15" customHeight="1" thickBot="1">
      <c r="A36" s="2419"/>
      <c r="B36" s="2414"/>
      <c r="C36" s="2414"/>
      <c r="D36" s="2414"/>
      <c r="E36" s="2414"/>
      <c r="F36" s="2414"/>
      <c r="G36" s="2414"/>
      <c r="H36" s="2414"/>
      <c r="I36" s="2414"/>
      <c r="J36" s="2414"/>
      <c r="K36" s="2430"/>
      <c r="L36" s="2197"/>
      <c r="M36" s="2444"/>
      <c r="N36" s="2456"/>
      <c r="O36" s="2197"/>
      <c r="P36" s="2197"/>
      <c r="Q36" s="2197"/>
      <c r="R36" s="2197"/>
      <c r="S36" s="2197"/>
    </row>
    <row r="37" spans="1:19" s="286" customFormat="1" ht="16.5" customHeight="1">
      <c r="A37" s="1795"/>
      <c r="B37" s="1795"/>
      <c r="C37" s="72"/>
      <c r="D37" s="72"/>
      <c r="E37" s="72"/>
      <c r="F37" s="1259"/>
      <c r="G37" s="1983"/>
      <c r="H37" s="284"/>
      <c r="I37" s="1796"/>
      <c r="J37" s="1796"/>
      <c r="K37" s="1796"/>
      <c r="L37" s="284"/>
      <c r="M37" s="284"/>
      <c r="N37" s="284"/>
      <c r="O37" s="2197"/>
      <c r="P37" s="2197"/>
      <c r="Q37" s="2197"/>
      <c r="R37" s="2197"/>
      <c r="S37" s="2197"/>
    </row>
    <row r="38" spans="1:19" ht="20.25" customHeight="1">
      <c r="A38" s="1235"/>
      <c r="D38" s="72"/>
      <c r="E38" s="72"/>
      <c r="O38" s="2197"/>
      <c r="P38" s="2197"/>
      <c r="Q38" s="2197"/>
      <c r="R38" s="2197"/>
      <c r="S38" s="2197"/>
    </row>
  </sheetData>
  <sheetProtection algorithmName="SHA-512" hashValue="MVggymENYfV85l1VC/14+B7kUbCZa63vUm48Mz0x4w42X4l346wiH89M+BhHMoQXMhiW6ptFMg31l2Ow/4qFhQ==" saltValue="ouAK0SeCugdw7hyWZIc8WQ==" spinCount="100000" sheet="1" objects="1" scenarios="1"/>
  <customSheetViews>
    <customSheetView guid="{97D6DB71-3F4C-4C5F-8C5B-51E3EBF78932}" showPageBreaks="1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1"/>
      <headerFooter>
        <oddHeader>&amp;L&amp;8Statistiska Centralbyrån
Offentlig ekonomi&amp;R&amp;P</oddHeader>
      </headerFooter>
    </customSheetView>
    <customSheetView guid="{99FBDEB7-DD08-4F57-81F4-3C180403E153}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hiddenRows="1" hiddenColumns="1" showRuler="0">
      <selection activeCell="E12" sqref="E12"/>
      <pageMargins left="0.31496062992125984" right="0.31496062992125984" top="0.74803149606299213" bottom="0.74803149606299213" header="0.31496062992125984" footer="0.31496062992125984"/>
      <pageSetup paperSize="9" scale="85" orientation="landscape" r:id="rId3"/>
      <headerFooter alignWithMargins="0">
        <oddHeader>&amp;L&amp;8Statistiska Centralbyrån
Offentlig ekonomi&amp;R&amp;P</oddHeader>
      </headerFooter>
    </customSheetView>
  </customSheetViews>
  <mergeCells count="6">
    <mergeCell ref="K4:K6"/>
    <mergeCell ref="D9:D11"/>
    <mergeCell ref="D6:D8"/>
    <mergeCell ref="E6:E8"/>
    <mergeCell ref="F6:F8"/>
    <mergeCell ref="G6:G8"/>
  </mergeCells>
  <phoneticPr fontId="86" type="noConversion"/>
  <conditionalFormatting sqref="G29:G30 C14:G17 C23:G25 C33:G34 C13:D13 F13 C22:D22 F22">
    <cfRule type="cellIs" dxfId="1" priority="34" stopIfTrue="1" operator="lessThan">
      <formula>-500</formula>
    </cfRule>
    <cfRule type="cellIs" dxfId="0" priority="35" stopIfTrue="1" operator="lessThan">
      <formula>0</formula>
    </cfRule>
  </conditionalFormatting>
  <dataValidations disablePrompts="1" count="1">
    <dataValidation type="decimal" operator="lessThan" allowBlank="1" showInputMessage="1" showErrorMessage="1" error="Beloppet ska vara i 1000 tal kronor" sqref="G14:G17 G23:G25 G29:G30 C33:G34 E14:E17 C13:D17 F13:F17 C22:D25 F22:F25 E23:E25" xr:uid="{00000000-0002-0000-0A00-000000000000}">
      <formula1>99999999</formula1>
    </dataValidation>
  </dataValidations>
  <pageMargins left="0.31496062992125984" right="0.31496062992125984" top="0.74803149606299213" bottom="0.74803149606299213" header="0.31496062992125984" footer="0.31496062992125984"/>
  <pageSetup paperSize="9" scale="79" orientation="landscape" r:id="rId4"/>
  <headerFooter>
    <oddHeader>&amp;L&amp;8Statistiska Centralbyrån
Offentlig ekonomi&amp;R&amp;P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FFFF00"/>
  </sheetPr>
  <dimension ref="A1:L74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0" defaultRowHeight="12.75" customHeight="1" zeroHeight="1"/>
  <cols>
    <col min="1" max="1" width="4" style="170" customWidth="1"/>
    <col min="2" max="2" width="42.42578125" style="170" customWidth="1"/>
    <col min="3" max="4" width="11.5703125" style="170" customWidth="1"/>
    <col min="5" max="5" width="12.140625" style="170" customWidth="1"/>
    <col min="6" max="6" width="5.5703125" style="170" customWidth="1"/>
    <col min="7" max="7" width="24" style="170" customWidth="1"/>
    <col min="8" max="8" width="15" style="170" customWidth="1"/>
    <col min="9" max="9" width="8.5703125" style="170" customWidth="1"/>
    <col min="10" max="10" width="9.140625" style="170" customWidth="1"/>
    <col min="11" max="11" width="10.140625" style="170" customWidth="1"/>
    <col min="12" max="12" width="0" style="170" hidden="1" customWidth="1"/>
    <col min="13" max="16384" width="9.140625" style="170" hidden="1"/>
  </cols>
  <sheetData>
    <row r="1" spans="1:11" ht="21.75">
      <c r="A1" s="77" t="str">
        <f>"Resultaträkning "&amp;År&amp;", miljoner kr"</f>
        <v>Resultaträkning 2021, miljoner kr</v>
      </c>
      <c r="B1" s="78"/>
      <c r="C1" s="78"/>
      <c r="D1" s="78"/>
      <c r="E1" s="78"/>
      <c r="F1" s="512" t="s">
        <v>457</v>
      </c>
      <c r="G1" s="513" t="str">
        <f>Information!A2</f>
        <v>RIKSTOTAL</v>
      </c>
      <c r="H1" s="169"/>
      <c r="I1" s="169"/>
      <c r="J1" s="169"/>
      <c r="K1" s="169"/>
    </row>
    <row r="2" spans="1:11" ht="12.75" customHeight="1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</row>
    <row r="3" spans="1:11" ht="12.75" customHeight="1" thickBo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</row>
    <row r="4" spans="1:11" ht="12.75" customHeight="1">
      <c r="A4" s="602" t="s">
        <v>622</v>
      </c>
      <c r="B4" s="603"/>
      <c r="C4" s="613" t="s">
        <v>624</v>
      </c>
      <c r="D4" s="614" t="s">
        <v>736</v>
      </c>
      <c r="G4" s="4"/>
      <c r="H4" s="4"/>
      <c r="I4" s="2471" t="s">
        <v>461</v>
      </c>
      <c r="J4" s="2477"/>
      <c r="K4" s="171"/>
    </row>
    <row r="5" spans="1:11" ht="12.75" customHeight="1">
      <c r="A5" s="604" t="s">
        <v>625</v>
      </c>
      <c r="B5" s="605"/>
      <c r="C5" s="615"/>
      <c r="D5" s="616"/>
      <c r="E5" s="2"/>
      <c r="F5" s="4"/>
      <c r="G5" s="4"/>
      <c r="H5" s="4"/>
      <c r="I5" s="619" t="s">
        <v>624</v>
      </c>
      <c r="J5" s="620" t="s">
        <v>736</v>
      </c>
      <c r="K5" s="171"/>
    </row>
    <row r="6" spans="1:11" ht="12.75" customHeight="1">
      <c r="A6" s="604"/>
      <c r="B6" s="606"/>
      <c r="C6" s="605"/>
      <c r="D6" s="617"/>
      <c r="E6" s="2"/>
      <c r="F6" s="4"/>
      <c r="G6" s="4"/>
      <c r="H6" s="4"/>
      <c r="I6" s="621"/>
      <c r="J6" s="622"/>
      <c r="K6" s="171"/>
    </row>
    <row r="7" spans="1:11">
      <c r="A7" s="587" t="s">
        <v>281</v>
      </c>
      <c r="B7" s="607" t="s">
        <v>749</v>
      </c>
      <c r="C7" s="175">
        <v>169126.47</v>
      </c>
      <c r="D7" s="176">
        <v>347373.71500000003</v>
      </c>
      <c r="E7" s="179"/>
      <c r="F7" s="67"/>
      <c r="G7" s="67"/>
      <c r="H7" s="4"/>
      <c r="I7" s="623">
        <f>C7*1000/invanare</f>
        <v>16180.749624533335</v>
      </c>
      <c r="J7" s="624">
        <f t="shared" ref="I7:J12" si="0">D7*1000/invanare</f>
        <v>33234.106456304558</v>
      </c>
      <c r="K7" s="171"/>
    </row>
    <row r="8" spans="1:11">
      <c r="A8" s="585" t="s">
        <v>282</v>
      </c>
      <c r="B8" s="607" t="s">
        <v>750</v>
      </c>
      <c r="C8" s="175">
        <v>746882.11399999994</v>
      </c>
      <c r="D8" s="176">
        <v>862505.30200000003</v>
      </c>
      <c r="E8" s="179"/>
      <c r="F8" s="67"/>
      <c r="G8" s="67"/>
      <c r="H8" s="4"/>
      <c r="I8" s="625">
        <f>C8*1000/invanare*-1</f>
        <v>-71456.067673358077</v>
      </c>
      <c r="J8" s="624">
        <f>D8*1000/invanare*-1</f>
        <v>-82518.025365837238</v>
      </c>
      <c r="K8" s="171"/>
    </row>
    <row r="9" spans="1:11">
      <c r="A9" s="585" t="s">
        <v>283</v>
      </c>
      <c r="B9" s="607" t="s">
        <v>978</v>
      </c>
      <c r="C9" s="66">
        <v>31058.901000000002</v>
      </c>
      <c r="D9" s="177">
        <v>65653.896999999997</v>
      </c>
      <c r="E9" s="179"/>
      <c r="F9" s="67"/>
      <c r="G9" s="67"/>
      <c r="H9" s="4"/>
      <c r="I9" s="623">
        <f>C9*1000/invanare*-1</f>
        <v>-2971.4822327585271</v>
      </c>
      <c r="J9" s="624">
        <f>D9*1000/invanare*-1</f>
        <v>-6281.2714605342398</v>
      </c>
      <c r="K9" s="171"/>
    </row>
    <row r="10" spans="1:11" ht="13.5" thickBot="1">
      <c r="A10" s="578" t="s">
        <v>284</v>
      </c>
      <c r="B10" s="608" t="s">
        <v>626</v>
      </c>
      <c r="C10" s="340">
        <f>C7-SUM(C8:C9)</f>
        <v>-608814.54499999993</v>
      </c>
      <c r="D10" s="341">
        <f>D7-SUM(D8:D9)</f>
        <v>-580785.48399999994</v>
      </c>
      <c r="E10" s="180"/>
      <c r="F10" s="67"/>
      <c r="G10" s="67"/>
      <c r="H10" s="4"/>
      <c r="I10" s="626">
        <f t="shared" si="0"/>
        <v>-58246.800281583251</v>
      </c>
      <c r="J10" s="624">
        <f t="shared" si="0"/>
        <v>-55565.190370066906</v>
      </c>
      <c r="K10" s="171"/>
    </row>
    <row r="11" spans="1:11">
      <c r="A11" s="609" t="s">
        <v>285</v>
      </c>
      <c r="B11" s="610" t="s">
        <v>627</v>
      </c>
      <c r="C11" s="97">
        <f>'Skatter, bidrag o fin poster'!D14</f>
        <v>515830.36200000002</v>
      </c>
      <c r="D11" s="1220">
        <f>C11</f>
        <v>515830.36200000002</v>
      </c>
      <c r="E11" s="180"/>
      <c r="F11" s="67"/>
      <c r="G11" s="67"/>
      <c r="H11" s="4"/>
      <c r="I11" s="627">
        <f t="shared" si="0"/>
        <v>49350.77245007475</v>
      </c>
      <c r="J11" s="628">
        <f t="shared" si="0"/>
        <v>49350.77245007475</v>
      </c>
      <c r="K11" s="171"/>
    </row>
    <row r="12" spans="1:11">
      <c r="A12" s="585" t="s">
        <v>286</v>
      </c>
      <c r="B12" s="2013" t="s">
        <v>1089</v>
      </c>
      <c r="C12" s="98">
        <f>'Skatter, bidrag o fin poster'!D28-'Skatter, bidrag o fin poster'!D39+'Skatter, bidrag o fin poster'!D41</f>
        <v>131422.42499999999</v>
      </c>
      <c r="D12" s="1221">
        <f>C12</f>
        <v>131422.42499999999</v>
      </c>
      <c r="E12" s="180"/>
      <c r="F12" s="67"/>
      <c r="G12" s="67"/>
      <c r="H12" s="4"/>
      <c r="I12" s="623">
        <f t="shared" si="0"/>
        <v>12573.509953669642</v>
      </c>
      <c r="J12" s="629">
        <f t="shared" si="0"/>
        <v>12573.509953669642</v>
      </c>
      <c r="K12" s="171"/>
    </row>
    <row r="13" spans="1:11" ht="13.5" thickBot="1">
      <c r="A13" s="589" t="s">
        <v>299</v>
      </c>
      <c r="B13" s="2014" t="s">
        <v>1152</v>
      </c>
      <c r="C13" s="340">
        <f>SUM(C10:C12)</f>
        <v>38438.242000000086</v>
      </c>
      <c r="D13" s="341">
        <f>SUM(D10:D12)</f>
        <v>66467.303000000073</v>
      </c>
      <c r="E13" s="180"/>
      <c r="F13" s="67"/>
      <c r="G13" s="67"/>
      <c r="H13" s="4"/>
      <c r="I13" s="626">
        <f t="shared" ref="I13" si="1">C13*1000/invanare</f>
        <v>3677.4821221611433</v>
      </c>
      <c r="J13" s="633">
        <f t="shared" ref="J13" si="2">D13*1000/invanare</f>
        <v>6359.092033677488</v>
      </c>
      <c r="K13" s="171"/>
    </row>
    <row r="14" spans="1:11">
      <c r="A14" s="585" t="s">
        <v>287</v>
      </c>
      <c r="B14" s="607" t="s">
        <v>628</v>
      </c>
      <c r="C14" s="175">
        <v>16038.103999999999</v>
      </c>
      <c r="D14" s="1844">
        <v>11533.814</v>
      </c>
      <c r="E14" s="179"/>
      <c r="F14" s="75"/>
      <c r="G14" s="67"/>
      <c r="H14" s="4"/>
      <c r="I14" s="2478">
        <f>(C14-C15)*1000/invanare</f>
        <v>862.67831676891808</v>
      </c>
      <c r="J14" s="2480">
        <f>(D14-D15)*1000/invanare</f>
        <v>128.92967555738309</v>
      </c>
      <c r="K14" s="171"/>
    </row>
    <row r="15" spans="1:11">
      <c r="A15" s="587" t="s">
        <v>288</v>
      </c>
      <c r="B15" s="611" t="s">
        <v>629</v>
      </c>
      <c r="C15" s="175">
        <v>7021.1090000000004</v>
      </c>
      <c r="D15" s="1844">
        <v>10186.199000000001</v>
      </c>
      <c r="E15" s="179"/>
      <c r="F15" s="75"/>
      <c r="G15" s="67"/>
      <c r="H15" s="4"/>
      <c r="I15" s="2479"/>
      <c r="J15" s="2481"/>
      <c r="K15" s="171"/>
    </row>
    <row r="16" spans="1:11" ht="13.5" thickBot="1">
      <c r="A16" s="538" t="s">
        <v>289</v>
      </c>
      <c r="B16" s="612" t="s">
        <v>1090</v>
      </c>
      <c r="C16" s="340">
        <f>SUM(C13:C14)-C15</f>
        <v>47455.237000000081</v>
      </c>
      <c r="D16" s="352">
        <f>SUM(D13:D14)-D15</f>
        <v>67814.918000000063</v>
      </c>
      <c r="E16" s="180"/>
      <c r="G16" s="2197"/>
      <c r="H16" s="4"/>
      <c r="I16" s="626">
        <f>C16*1000/invanare</f>
        <v>4540.160438930061</v>
      </c>
      <c r="J16" s="633">
        <f>D16*1000/invanare</f>
        <v>6488.0217092348694</v>
      </c>
      <c r="K16" s="171"/>
    </row>
    <row r="17" spans="1:11">
      <c r="A17" s="609" t="s">
        <v>325</v>
      </c>
      <c r="B17" s="610" t="s">
        <v>1091</v>
      </c>
      <c r="C17" s="175">
        <v>-1733.442</v>
      </c>
      <c r="D17" s="1844">
        <v>-2007.9359999999999</v>
      </c>
      <c r="E17" s="2197"/>
      <c r="F17" s="171"/>
      <c r="G17" s="2197"/>
      <c r="H17" s="4"/>
      <c r="I17" s="2127">
        <f>(C17)*1000/invanare</f>
        <v>-165.84270333703714</v>
      </c>
      <c r="J17" s="2128">
        <f>(D17)*1000/invanare</f>
        <v>-192.10422637028353</v>
      </c>
      <c r="K17" s="171"/>
    </row>
    <row r="18" spans="1:11" ht="13.5" thickBot="1">
      <c r="A18" s="2146" t="s">
        <v>214</v>
      </c>
      <c r="B18" s="1264" t="s">
        <v>630</v>
      </c>
      <c r="C18" s="340">
        <f>SUM(C16:C17)</f>
        <v>45721.795000000078</v>
      </c>
      <c r="D18" s="352">
        <f>SUM(D16:D17)</f>
        <v>65806.982000000062</v>
      </c>
      <c r="E18" s="2197"/>
      <c r="F18" s="171"/>
      <c r="G18" s="2197"/>
      <c r="H18" s="172"/>
      <c r="I18" s="631"/>
      <c r="J18" s="632"/>
      <c r="K18" s="171"/>
    </row>
    <row r="19" spans="1:11" ht="13.5" thickBot="1">
      <c r="A19" s="2144"/>
      <c r="B19" s="2145"/>
      <c r="E19" s="2197"/>
      <c r="F19" s="171"/>
      <c r="G19" s="2197"/>
      <c r="H19" s="4"/>
      <c r="I19" s="626">
        <f>C18*1000/invanare</f>
        <v>4374.3177355930238</v>
      </c>
      <c r="J19" s="633">
        <f>D18*1000/invanare</f>
        <v>6295.9174828645855</v>
      </c>
      <c r="K19" s="171"/>
    </row>
    <row r="20" spans="1:11" ht="15.75" customHeight="1">
      <c r="A20" s="16"/>
      <c r="B20" s="3"/>
      <c r="C20" s="3"/>
      <c r="D20" s="3"/>
      <c r="E20" s="2197"/>
      <c r="F20" s="173"/>
      <c r="G20" s="2197"/>
      <c r="H20" s="4"/>
      <c r="I20" s="4"/>
      <c r="J20" s="4"/>
      <c r="K20" s="171"/>
    </row>
    <row r="21" spans="1:11" ht="15.75" customHeight="1" thickBot="1">
      <c r="A21" s="74" t="s">
        <v>1071</v>
      </c>
      <c r="B21" s="3"/>
      <c r="C21" s="3"/>
      <c r="D21" s="3"/>
      <c r="E21" s="2197"/>
      <c r="F21" s="173"/>
      <c r="G21" s="2197"/>
      <c r="H21" s="4"/>
      <c r="I21" s="4"/>
      <c r="J21" s="4"/>
      <c r="K21" s="171"/>
    </row>
    <row r="22" spans="1:11" ht="15.75" customHeight="1">
      <c r="A22" s="609"/>
      <c r="B22" s="1947"/>
      <c r="C22" s="1949"/>
      <c r="D22" s="3"/>
      <c r="E22" s="2197"/>
      <c r="F22" s="173"/>
      <c r="G22" s="2197"/>
      <c r="H22" s="4"/>
      <c r="I22" s="4"/>
      <c r="J22" s="4"/>
      <c r="K22" s="171"/>
    </row>
    <row r="23" spans="1:11" ht="15.75" customHeight="1">
      <c r="A23" s="587" t="s">
        <v>344</v>
      </c>
      <c r="B23" s="1948" t="s">
        <v>1082</v>
      </c>
      <c r="C23" s="1953">
        <v>8923.81</v>
      </c>
      <c r="D23" s="3"/>
      <c r="E23" s="2197"/>
      <c r="F23" s="173"/>
      <c r="G23" s="2197"/>
      <c r="H23" s="4"/>
      <c r="I23" s="4"/>
      <c r="J23" s="4"/>
      <c r="K23" s="171"/>
    </row>
    <row r="24" spans="1:11" ht="15.75" customHeight="1">
      <c r="A24" s="587" t="s">
        <v>647</v>
      </c>
      <c r="B24" s="1948" t="s">
        <v>1083</v>
      </c>
      <c r="C24" s="1953">
        <v>6323.06</v>
      </c>
      <c r="D24" s="3"/>
      <c r="E24" s="2197"/>
      <c r="F24" s="173"/>
      <c r="G24" s="2197"/>
      <c r="H24" s="4"/>
      <c r="I24" s="4"/>
      <c r="J24" s="4"/>
      <c r="K24" s="171"/>
    </row>
    <row r="25" spans="1:11" ht="15.75" customHeight="1">
      <c r="A25" s="587" t="s">
        <v>1072</v>
      </c>
      <c r="B25" s="1948" t="s">
        <v>1084</v>
      </c>
      <c r="C25" s="1953">
        <v>277.233</v>
      </c>
      <c r="D25" s="3"/>
      <c r="E25" s="2197"/>
      <c r="F25" s="173"/>
      <c r="G25" s="2197"/>
      <c r="H25" s="4"/>
      <c r="I25" s="4"/>
      <c r="J25" s="4"/>
      <c r="K25" s="171"/>
    </row>
    <row r="26" spans="1:11" ht="15.75" customHeight="1">
      <c r="A26" s="587" t="s">
        <v>1073</v>
      </c>
      <c r="B26" s="1948" t="s">
        <v>1085</v>
      </c>
      <c r="C26" s="1953">
        <v>1926.9760000000001</v>
      </c>
      <c r="D26" s="3"/>
      <c r="E26" s="2197"/>
      <c r="F26" s="173"/>
      <c r="G26" s="2197"/>
      <c r="H26" s="4"/>
      <c r="I26" s="4"/>
      <c r="J26" s="4"/>
      <c r="K26" s="171"/>
    </row>
    <row r="27" spans="1:11" ht="15.75" customHeight="1" thickBot="1">
      <c r="A27" s="589" t="s">
        <v>1074</v>
      </c>
      <c r="B27" s="1950" t="s">
        <v>1086</v>
      </c>
      <c r="C27" s="1954">
        <v>293.411</v>
      </c>
      <c r="D27" s="3"/>
      <c r="E27" s="2197"/>
      <c r="F27" s="173"/>
      <c r="G27" s="2197"/>
      <c r="H27" s="4"/>
      <c r="I27" s="4"/>
      <c r="J27" s="4"/>
      <c r="K27" s="171"/>
    </row>
    <row r="28" spans="1:11" ht="15.75" customHeight="1" thickBot="1">
      <c r="A28" s="16"/>
      <c r="B28" s="3"/>
      <c r="C28" s="3"/>
      <c r="D28" s="3"/>
      <c r="E28" s="2"/>
      <c r="F28" s="173"/>
      <c r="G28" s="2197"/>
      <c r="H28" s="4"/>
      <c r="I28" s="4"/>
      <c r="J28" s="4"/>
      <c r="K28" s="171"/>
    </row>
    <row r="29" spans="1:11" ht="18" customHeight="1" thickBot="1">
      <c r="A29" s="74" t="s">
        <v>148</v>
      </c>
      <c r="B29" s="4"/>
      <c r="C29" s="4"/>
      <c r="D29" s="4"/>
      <c r="E29" s="4"/>
      <c r="F29" s="4"/>
      <c r="G29" s="2197"/>
      <c r="H29" s="4"/>
      <c r="I29" s="634" t="s">
        <v>461</v>
      </c>
      <c r="J29" s="174"/>
      <c r="K29" s="171"/>
    </row>
    <row r="30" spans="1:11">
      <c r="A30" s="123">
        <v>130</v>
      </c>
      <c r="B30" s="1462" t="s">
        <v>149</v>
      </c>
      <c r="C30" s="342">
        <f>C18</f>
        <v>45721.795000000078</v>
      </c>
      <c r="D30" s="4"/>
      <c r="E30" s="4"/>
      <c r="F30" s="4"/>
      <c r="G30" s="2197"/>
      <c r="H30" s="4"/>
      <c r="I30" s="635">
        <f>C30*1000/invanare</f>
        <v>4374.3177355930238</v>
      </c>
      <c r="J30" s="172"/>
      <c r="K30" s="171"/>
    </row>
    <row r="31" spans="1:11">
      <c r="A31" s="124">
        <v>131</v>
      </c>
      <c r="B31" s="618" t="str">
        <f>"- reducering av samtliga realisationsvinster"</f>
        <v>- reducering av samtliga realisationsvinster</v>
      </c>
      <c r="C31" s="99">
        <v>4573.1710000000003</v>
      </c>
      <c r="D31" s="179"/>
      <c r="E31" s="4"/>
      <c r="F31" s="4"/>
      <c r="G31" s="2197"/>
      <c r="H31" s="4"/>
      <c r="I31" s="636"/>
      <c r="J31" s="172"/>
      <c r="K31" s="171"/>
    </row>
    <row r="32" spans="1:11">
      <c r="A32" s="124">
        <v>132</v>
      </c>
      <c r="B32" s="618" t="str">
        <f>"+ justering för realisationsvinster enl. undantagsmöjlighet"</f>
        <v>+ justering för realisationsvinster enl. undantagsmöjlighet</v>
      </c>
      <c r="C32" s="99">
        <v>126.319</v>
      </c>
      <c r="D32" s="179"/>
      <c r="E32" s="4"/>
      <c r="G32" s="2197"/>
      <c r="H32" s="4"/>
      <c r="I32" s="638"/>
      <c r="J32" s="172"/>
      <c r="K32" s="171"/>
    </row>
    <row r="33" spans="1:11">
      <c r="A33" s="124">
        <v>135</v>
      </c>
      <c r="B33" s="618" t="str">
        <f>"+ justering av realisationsförluster enl. undantagsmöjlighet"</f>
        <v>+ justering av realisationsförluster enl. undantagsmöjlighet</v>
      </c>
      <c r="C33" s="178">
        <v>59.706000000000003</v>
      </c>
      <c r="D33" s="179"/>
      <c r="E33" s="4"/>
      <c r="F33" s="4"/>
      <c r="G33" s="2197"/>
      <c r="H33" s="4"/>
      <c r="I33" s="1271"/>
      <c r="J33" s="172"/>
      <c r="K33" s="171"/>
    </row>
    <row r="34" spans="1:11" ht="13.5" customHeight="1">
      <c r="A34" s="2135">
        <v>136</v>
      </c>
      <c r="B34" s="618" t="str">
        <f>"+/- orealiserade vinster och förluster i värdepapper"</f>
        <v>+/- orealiserade vinster och förluster i värdepapper</v>
      </c>
      <c r="C34" s="178">
        <v>-3867.0630000000001</v>
      </c>
      <c r="D34" s="179"/>
      <c r="E34" s="4"/>
      <c r="F34" s="4"/>
      <c r="G34" s="2197"/>
      <c r="H34" s="4"/>
      <c r="I34" s="638"/>
      <c r="J34" s="172"/>
      <c r="K34" s="171"/>
    </row>
    <row r="35" spans="1:11" ht="12.75" customHeight="1">
      <c r="A35" s="562">
        <v>140</v>
      </c>
      <c r="B35" s="611" t="str">
        <f>"-/+ återföring av orealiserade vinster och förluster i värdepapper"</f>
        <v>-/+ återföring av orealiserade vinster och förluster i värdepapper</v>
      </c>
      <c r="C35" s="178">
        <v>280.69099999999997</v>
      </c>
      <c r="D35" s="179"/>
      <c r="E35" s="4"/>
      <c r="F35" s="4"/>
      <c r="H35" s="4"/>
      <c r="I35" s="638"/>
      <c r="J35" s="4"/>
      <c r="K35" s="171"/>
    </row>
    <row r="36" spans="1:11" ht="12.75" customHeight="1">
      <c r="A36" s="1403">
        <v>141</v>
      </c>
      <c r="B36" s="1264" t="str">
        <f xml:space="preserve"> " = Årets resultat efter balanskravsjusteringar"</f>
        <v xml:space="preserve"> = Årets resultat efter balanskravsjusteringar</v>
      </c>
      <c r="C36" s="343">
        <f>C30-C31+C32+C33+C34+C35</f>
        <v>37748.277000000075</v>
      </c>
      <c r="D36" s="179"/>
      <c r="E36" s="4"/>
      <c r="F36" s="4"/>
      <c r="G36" s="1236"/>
      <c r="H36" s="4"/>
      <c r="I36" s="638"/>
      <c r="J36" s="4"/>
      <c r="K36" s="171"/>
    </row>
    <row r="37" spans="1:11" ht="13.5" customHeight="1">
      <c r="A37" s="574">
        <v>142</v>
      </c>
      <c r="B37" s="607" t="str">
        <f>"- reservering av medel till resultatutjämningsreserv"</f>
        <v>- reservering av medel till resultatutjämningsreserv</v>
      </c>
      <c r="C37" s="178">
        <v>5186.1689999999999</v>
      </c>
      <c r="D37" s="179"/>
      <c r="E37" s="4"/>
      <c r="F37" s="4"/>
      <c r="G37" s="1236"/>
      <c r="H37" s="4"/>
      <c r="I37" s="638"/>
      <c r="J37" s="4"/>
      <c r="K37" s="171"/>
    </row>
    <row r="38" spans="1:11" ht="12.75" customHeight="1">
      <c r="A38" s="562">
        <v>143</v>
      </c>
      <c r="B38" s="611" t="str">
        <f>"+ användning av medel från resultatutjämninsreserv"</f>
        <v>+ användning av medel från resultatutjämninsreserv</v>
      </c>
      <c r="C38" s="178">
        <v>10.234</v>
      </c>
      <c r="D38" s="179"/>
      <c r="E38" s="4"/>
      <c r="F38" s="4"/>
      <c r="G38" s="1236"/>
      <c r="H38" s="4"/>
      <c r="I38" s="638"/>
      <c r="J38" s="4"/>
      <c r="K38" s="171"/>
    </row>
    <row r="39" spans="1:11" ht="12.75" customHeight="1">
      <c r="A39" s="125">
        <v>133</v>
      </c>
      <c r="B39" s="1264" t="str">
        <f>"= Balanskravsresultat"</f>
        <v>= Balanskravsresultat</v>
      </c>
      <c r="C39" s="343">
        <f>C36-C37+C38</f>
        <v>32572.342000000073</v>
      </c>
      <c r="D39" s="179"/>
      <c r="E39" s="4"/>
      <c r="F39" s="4"/>
      <c r="G39" s="1237"/>
      <c r="H39" s="4"/>
      <c r="I39" s="1682">
        <f>C39*1000/invanare</f>
        <v>3116.2768937746564</v>
      </c>
      <c r="J39" s="4"/>
      <c r="K39" s="171"/>
    </row>
    <row r="40" spans="1:11" ht="33" customHeight="1">
      <c r="A40" s="1618"/>
      <c r="B40" s="1619" t="s">
        <v>965</v>
      </c>
      <c r="C40" s="731"/>
      <c r="D40" s="4"/>
      <c r="E40" s="4"/>
      <c r="F40" s="4"/>
      <c r="G40" s="1237"/>
      <c r="H40" s="4"/>
      <c r="I40" s="638"/>
      <c r="J40" s="4"/>
      <c r="K40" s="171"/>
    </row>
    <row r="41" spans="1:11" ht="12.75" customHeight="1">
      <c r="A41" s="1489">
        <v>144</v>
      </c>
      <c r="B41" s="1463" t="s">
        <v>966</v>
      </c>
      <c r="C41" s="1464">
        <v>268.38600000000002</v>
      </c>
      <c r="D41" s="4"/>
      <c r="E41" s="4"/>
      <c r="F41" s="4"/>
      <c r="G41" s="1237"/>
      <c r="H41" s="4"/>
      <c r="I41" s="638"/>
      <c r="J41" s="4"/>
      <c r="K41" s="171"/>
    </row>
    <row r="42" spans="1:11" ht="12.75" customHeight="1">
      <c r="A42" s="562">
        <v>145</v>
      </c>
      <c r="B42" s="1465" t="s">
        <v>967</v>
      </c>
      <c r="C42" s="178">
        <v>237.98099999999999</v>
      </c>
      <c r="D42" s="179"/>
      <c r="E42" s="4"/>
      <c r="F42" s="4"/>
      <c r="G42" s="1237"/>
      <c r="H42" s="4"/>
      <c r="I42" s="637"/>
      <c r="J42" s="4"/>
      <c r="K42" s="171"/>
    </row>
    <row r="43" spans="1:11" ht="13.5" customHeight="1" thickBot="1">
      <c r="A43" s="571">
        <v>146</v>
      </c>
      <c r="B43" s="1466" t="str">
        <f>"= Resultat efter synnerliga skäl m.m."</f>
        <v>= Resultat efter synnerliga skäl m.m.</v>
      </c>
      <c r="C43" s="341">
        <f>C39-C41+C42</f>
        <v>32541.937000000074</v>
      </c>
      <c r="D43" s="1245"/>
      <c r="E43" s="4"/>
      <c r="F43" s="4"/>
      <c r="G43" s="1237"/>
      <c r="H43" s="4"/>
      <c r="I43" s="639">
        <f>C43*1000/invanare</f>
        <v>3113.3679718753583</v>
      </c>
      <c r="J43" s="4"/>
      <c r="K43" s="171"/>
    </row>
    <row r="44" spans="1:11" ht="21.75" customHeight="1" thickBot="1">
      <c r="A44" s="1508">
        <v>137</v>
      </c>
      <c r="B44" s="1468" t="s">
        <v>968</v>
      </c>
      <c r="C44" s="1467">
        <v>135.70599999999999</v>
      </c>
      <c r="D44" s="1374"/>
      <c r="E44" s="4"/>
      <c r="F44" s="4"/>
      <c r="G44" s="4"/>
      <c r="H44" s="4"/>
      <c r="I44" s="4"/>
      <c r="J44" s="4"/>
      <c r="K44" s="171"/>
    </row>
    <row r="45" spans="1:11" ht="12.75" customHeight="1">
      <c r="A45" s="171"/>
      <c r="B45" s="171"/>
      <c r="C45" s="171"/>
      <c r="D45" s="4"/>
      <c r="E45" s="4"/>
      <c r="F45" s="4"/>
      <c r="G45" s="640" t="s">
        <v>519</v>
      </c>
      <c r="H45" s="641"/>
      <c r="I45" s="2471" t="s">
        <v>144</v>
      </c>
      <c r="J45" s="2472"/>
      <c r="K45" s="171"/>
    </row>
    <row r="46" spans="1:11" ht="21.75" customHeight="1">
      <c r="A46" s="171"/>
      <c r="B46" s="171"/>
      <c r="C46" s="171"/>
      <c r="D46" s="4"/>
      <c r="E46" s="4"/>
      <c r="F46" s="171"/>
      <c r="G46" s="642"/>
      <c r="H46" s="643"/>
      <c r="I46" s="644" t="s">
        <v>624</v>
      </c>
      <c r="J46" s="645" t="s">
        <v>736</v>
      </c>
      <c r="K46" s="171"/>
    </row>
    <row r="47" spans="1:11" ht="19.5" customHeight="1">
      <c r="A47" s="171"/>
      <c r="B47" s="171"/>
      <c r="C47" s="171"/>
      <c r="D47" s="171"/>
      <c r="E47" s="171"/>
      <c r="F47" s="171"/>
      <c r="G47" s="2473" t="s">
        <v>528</v>
      </c>
      <c r="H47" s="2474"/>
      <c r="I47" s="623">
        <f>IF(ISERROR(C10*100/SUM(C11:C12)*-1),0,C10*100/SUM(C11:C12)*-1)</f>
        <v>94.061324605775695</v>
      </c>
      <c r="J47" s="646">
        <f>IF(ISERROR(D10*100/SUM(D11:D12)*-1),0,D10*100/SUM(D11:D12)*-1)</f>
        <v>89.730858740975947</v>
      </c>
      <c r="K47" s="171"/>
    </row>
    <row r="48" spans="1:11" ht="15" customHeight="1">
      <c r="A48" s="4"/>
      <c r="B48" s="4"/>
      <c r="C48" s="4"/>
      <c r="D48" s="171"/>
      <c r="E48" s="171"/>
      <c r="F48" s="171"/>
      <c r="G48" s="647" t="s">
        <v>529</v>
      </c>
      <c r="H48" s="648"/>
      <c r="I48" s="625">
        <f>IF(ISERROR((C14-C15)*100/SUM(C11:C12)),0,(C14-C15)*100/SUM(C11:C12))</f>
        <v>1.3931179874548765</v>
      </c>
      <c r="J48" s="646">
        <f>IF(ISERROR((D14-D15)*100/SUM(D11:D12)),0,(D14-D15)*100/SUM(D11:D12))</f>
        <v>0.20820536072871321</v>
      </c>
      <c r="K48" s="171"/>
    </row>
    <row r="49" spans="1:11" ht="19.5" customHeight="1">
      <c r="A49" s="4"/>
      <c r="B49" s="4"/>
      <c r="C49" s="4"/>
      <c r="D49" s="171"/>
      <c r="E49" s="171"/>
      <c r="F49" s="171"/>
      <c r="G49" s="2475" t="s">
        <v>1141</v>
      </c>
      <c r="H49" s="2476"/>
      <c r="I49" s="625">
        <f>IF(ISERROR(C16*100/SUM(C11:C12)),0,C16*100/SUM(C11:C12))</f>
        <v>7.3317933816791871</v>
      </c>
      <c r="J49" s="646">
        <f>IF(ISERROR(D16*100/SUM(D11:D12)),0,D16*100/SUM(D11:D12))</f>
        <v>10.477346619752765</v>
      </c>
      <c r="K49" s="171"/>
    </row>
    <row r="50" spans="1:11" ht="19.5" customHeight="1">
      <c r="A50" s="171"/>
      <c r="B50" s="171"/>
      <c r="C50" s="171"/>
      <c r="D50" s="171"/>
      <c r="E50" s="171"/>
      <c r="F50" s="171"/>
      <c r="G50" s="647" t="s">
        <v>742</v>
      </c>
      <c r="H50" s="648"/>
      <c r="I50" s="625">
        <f>IF(ISERROR(C18*100/SUM(C11:C12)),0,C18*100/SUM(C11:C12))</f>
        <v>7.0639780806382335</v>
      </c>
      <c r="J50" s="646">
        <f>IF(ISERROR(D18*100/SUM(D11:D12)),0,D18*100/SUM(D11:D12))</f>
        <v>10.167122231333098</v>
      </c>
      <c r="K50" s="171"/>
    </row>
    <row r="51" spans="1:11" ht="13.5" customHeight="1">
      <c r="A51" s="171"/>
      <c r="B51" s="171"/>
      <c r="C51" s="171"/>
      <c r="D51" s="171"/>
      <c r="E51" s="171"/>
      <c r="F51" s="171"/>
      <c r="G51" s="649" t="s">
        <v>531</v>
      </c>
      <c r="H51" s="2111"/>
      <c r="I51" s="625">
        <f>IF(C8&gt;0,C7*100/(C8+C9),0)</f>
        <v>21.740269087110676</v>
      </c>
      <c r="J51" s="646">
        <f>IF(D8&gt;0,D7*100/(D8+D9),0)</f>
        <v>37.426091921974262</v>
      </c>
      <c r="K51" s="171"/>
    </row>
    <row r="52" spans="1:11" ht="14.25" customHeight="1">
      <c r="A52" s="171"/>
      <c r="B52" s="171"/>
      <c r="C52" s="171"/>
      <c r="D52" s="171"/>
      <c r="E52" s="171"/>
      <c r="F52" s="171"/>
      <c r="G52" s="649" t="s">
        <v>743</v>
      </c>
      <c r="H52" s="650"/>
      <c r="I52" s="625">
        <f>IF(ISERROR((Investeringar!C7+Investeringar!D7+Investeringar!E7-Investeringar!C78)*100/SUM(C11:C12)),0,(Investeringar!C7+Investeringar!D7+Investeringar!E7-Investeringar!C78)*100/SUM(C11:C12))</f>
        <v>11.044082379517045</v>
      </c>
      <c r="J52" s="651"/>
      <c r="K52" s="171"/>
    </row>
    <row r="53" spans="1:11" ht="12.75" customHeight="1">
      <c r="A53" s="171"/>
      <c r="B53" s="171"/>
      <c r="C53" s="171"/>
      <c r="D53" s="171"/>
      <c r="E53" s="171"/>
      <c r="F53" s="171"/>
      <c r="G53" s="649" t="s">
        <v>520</v>
      </c>
      <c r="H53" s="650"/>
      <c r="I53" s="625">
        <f>IF(ISERROR((Investeringar!C8+Investeringar!D8+Investeringar!E8)*100/SUM(C11:C12)*-1),0,(Investeringar!C8+Investeringar!D8+Investeringar!E8)*100/SUM(C11:C12)*-1)</f>
        <v>2.0594593438189399</v>
      </c>
      <c r="J53" s="652"/>
      <c r="K53" s="171"/>
    </row>
    <row r="54" spans="1:11" ht="12.75" customHeight="1">
      <c r="A54" s="171"/>
      <c r="B54" s="171"/>
      <c r="C54" s="171"/>
      <c r="D54" s="171"/>
      <c r="E54" s="171"/>
      <c r="F54" s="171"/>
      <c r="G54" s="649" t="s">
        <v>521</v>
      </c>
      <c r="H54" s="650"/>
      <c r="I54" s="625">
        <f>IF(ISERROR(SUM(Investeringar!C8:E8)/(Investeringar!C66)*-1),0,(SUM(Investeringar!C8:E8)/(Investeringar!C66)*-1)*100)</f>
        <v>18.143186032421514</v>
      </c>
      <c r="J54" s="652"/>
      <c r="K54" s="171"/>
    </row>
    <row r="55" spans="1:11" ht="12.75" customHeight="1" thickBot="1">
      <c r="A55" s="171"/>
      <c r="B55" s="171"/>
      <c r="C55" s="171"/>
      <c r="D55" s="171"/>
      <c r="E55" s="171"/>
      <c r="F55" s="171"/>
      <c r="G55" s="653" t="s">
        <v>1142</v>
      </c>
      <c r="H55" s="2112"/>
      <c r="I55" s="654">
        <f>IF(ISERROR(BR!D31*100/RR!C8),0,BR!D31*100/RR!C8)</f>
        <v>7.0939789568986793</v>
      </c>
      <c r="J55" s="655"/>
      <c r="K55" s="171"/>
    </row>
    <row r="56" spans="1:11" ht="12.75" customHeight="1">
      <c r="A56" s="171"/>
      <c r="B56" s="171"/>
      <c r="C56" s="171"/>
      <c r="D56" s="171"/>
      <c r="E56" s="171"/>
      <c r="F56" s="171"/>
      <c r="G56" s="147"/>
      <c r="H56" s="1268"/>
      <c r="I56" s="1269"/>
      <c r="J56" s="1270"/>
      <c r="K56" s="201"/>
    </row>
    <row r="57" spans="1:11" ht="12.75" customHeight="1">
      <c r="A57" s="171"/>
      <c r="B57" s="171"/>
      <c r="C57" s="171"/>
      <c r="D57" s="171"/>
      <c r="E57" s="171"/>
      <c r="F57" s="171"/>
      <c r="G57" s="147"/>
      <c r="H57" s="1268"/>
      <c r="I57" s="1269"/>
      <c r="J57" s="1270"/>
      <c r="K57" s="201"/>
    </row>
    <row r="58" spans="1:11" ht="19.5" customHeight="1">
      <c r="A58" s="171"/>
      <c r="B58" s="171"/>
      <c r="C58" s="171"/>
      <c r="D58" s="171"/>
      <c r="E58" s="171"/>
      <c r="F58" s="171"/>
      <c r="G58" s="147"/>
      <c r="H58" s="1268"/>
      <c r="I58" s="1269"/>
      <c r="J58" s="1270"/>
      <c r="K58" s="201"/>
    </row>
    <row r="59" spans="1:11">
      <c r="A59" s="171"/>
      <c r="B59" s="171"/>
      <c r="C59" s="171"/>
      <c r="D59" s="171"/>
      <c r="E59" s="171"/>
      <c r="F59" s="171"/>
      <c r="G59" s="147"/>
      <c r="H59" s="1268"/>
      <c r="I59" s="1269"/>
      <c r="J59" s="1270"/>
      <c r="K59" s="171"/>
    </row>
    <row r="60" spans="1:11" hidden="1">
      <c r="A60" s="171"/>
      <c r="B60" s="171"/>
      <c r="C60" s="171"/>
      <c r="G60" s="836"/>
      <c r="H60" s="1265"/>
      <c r="I60" s="1266"/>
      <c r="J60" s="1267"/>
      <c r="K60" s="171"/>
    </row>
    <row r="61" spans="1:11" hidden="1">
      <c r="A61" s="171"/>
      <c r="B61" s="171"/>
      <c r="C61" s="171"/>
      <c r="G61" s="171"/>
      <c r="H61" s="171"/>
      <c r="I61" s="171"/>
      <c r="J61" s="171"/>
      <c r="K61" s="171"/>
    </row>
    <row r="62" spans="1:11" hidden="1">
      <c r="A62" s="171"/>
      <c r="B62" s="171"/>
      <c r="C62" s="171"/>
    </row>
    <row r="63" spans="1:11" hidden="1"/>
    <row r="64" spans="1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t="12.75" customHeight="1"/>
  </sheetData>
  <sheetProtection algorithmName="SHA-512" hashValue="qEIwGweZ3sLzS4fiN/u4zxAJqaQVMbO58CRaFJ9v9nobE945aNWTG6ch049HBkAw3uO4MYNkbSLT5b2FhdmaqA==" saltValue="aArXcvhMuyEort3aar2NTQ==" spinCount="100000" sheet="1" objects="1" scenarios="1"/>
  <mergeCells count="6">
    <mergeCell ref="I45:J45"/>
    <mergeCell ref="G47:H47"/>
    <mergeCell ref="G49:H49"/>
    <mergeCell ref="I4:J4"/>
    <mergeCell ref="I14:I15"/>
    <mergeCell ref="J14:J15"/>
  </mergeCells>
  <conditionalFormatting sqref="C38">
    <cfRule type="cellIs" dxfId="166" priority="2" stopIfTrue="1" operator="lessThan">
      <formula>-5</formula>
    </cfRule>
  </conditionalFormatting>
  <dataValidations count="10">
    <dataValidation type="decimal" operator="greaterThanOrEqual" allowBlank="1" showInputMessage="1" showErrorMessage="1" error="Belopp anges utan minustecken" sqref="C23:C27" xr:uid="{00000000-0002-0000-0100-000000000000}">
      <formula1>0</formula1>
    </dataValidation>
    <dataValidation type="decimal" operator="lessThan" allowBlank="1" showInputMessage="1" showErrorMessage="1" error="Beloppet ska vara i tusental kronor" sqref="C14:D15" xr:uid="{00000000-0002-0000-0100-000001000000}">
      <formula1>99999999</formula1>
    </dataValidation>
    <dataValidation type="decimal" operator="lessThan" allowBlank="1" showInputMessage="1" showErrorMessage="1" error="Beloppet ska vara i 1000 tal kronoer" sqref="C7:D9" xr:uid="{00000000-0002-0000-0100-000002000000}">
      <formula1>99999999</formula1>
    </dataValidation>
    <dataValidation type="decimal" operator="lessThan" allowBlank="1" showInputMessage="1" showErrorMessage="1" error="Beloppet ska vara i 1000 tal kronor" sqref="C34 C17:D17 C43:C44" xr:uid="{00000000-0002-0000-0100-000003000000}">
      <formula1>99999999</formula1>
    </dataValidation>
    <dataValidation type="decimal" allowBlank="1" showInputMessage="1" showErrorMessage="1" error="Beloppet ska vara i 1000 tal kronor. Inget minusbelopp anges." sqref="C31" xr:uid="{00000000-0002-0000-0100-000004000000}">
      <formula1>0</formula1>
      <formula2>99999999</formula2>
    </dataValidation>
    <dataValidation type="decimal" allowBlank="1" showInputMessage="1" showErrorMessage="1" error="Beloppet ska vara i 1000 tal kronor_x000a_Inget minusbelopp anges." sqref="C32" xr:uid="{00000000-0002-0000-0100-000005000000}">
      <formula1>0</formula1>
      <formula2>99999999</formula2>
    </dataValidation>
    <dataValidation type="decimal" operator="lessThan" allowBlank="1" showInputMessage="1" showErrorMessage="1" error="Beloppet ska vara i 1000 tal kronor._x000a_Inget minustecken anges." sqref="C33" xr:uid="{00000000-0002-0000-0100-000006000000}">
      <formula1>99999999</formula1>
    </dataValidation>
    <dataValidation type="decimal" allowBlank="1" showInputMessage="1" showErrorMessage="1" error="Beloppet ska vara i 1000 tal kronor_x000a_Inget minustecken ska anges_x000a_" sqref="C37" xr:uid="{00000000-0002-0000-0100-000007000000}">
      <formula1>0</formula1>
      <formula2>99999999</formula2>
    </dataValidation>
    <dataValidation type="decimal" allowBlank="1" showInputMessage="1" showErrorMessage="1" error="Beloppet ska vara i 1000 tal kronor_x000a_Inget minustecken ska anges." sqref="C38" xr:uid="{00000000-0002-0000-0100-000008000000}">
      <formula1>0</formula1>
      <formula2>99999999</formula2>
    </dataValidation>
    <dataValidation type="decimal" allowBlank="1" showInputMessage="1" showErrorMessage="1" error="Beloppet ska vara i 1000 tal kronor_x000a_Inget minustecken anges." sqref="C41:C42" xr:uid="{00000000-0002-0000-0100-000009000000}">
      <formula1>0</formula1>
      <formula2>99999999</formula2>
    </dataValidation>
  </dataValidations>
  <pageMargins left="0.70866141732283472" right="0.70866141732283472" top="0.74803149606299213" bottom="0.52" header="0.31496062992125984" footer="0.31496062992125984"/>
  <pageSetup paperSize="9" scale="85" orientation="landscape" r:id="rId1"/>
  <headerFooter>
    <oddHeader>&amp;L&amp;8Statistiska Centralbyrån
Offentlig ekonomi&amp;R&amp;P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>
    <tabColor rgb="FFFFFF00"/>
  </sheetPr>
  <dimension ref="A1:U115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0" defaultRowHeight="12.75" zeroHeight="1"/>
  <cols>
    <col min="1" max="1" width="4" style="144" customWidth="1"/>
    <col min="2" max="2" width="10.85546875" style="144" customWidth="1"/>
    <col min="3" max="3" width="35.85546875" style="144" customWidth="1"/>
    <col min="4" max="4" width="10.5703125" style="144" customWidth="1"/>
    <col min="5" max="5" width="10.140625" style="144" customWidth="1"/>
    <col min="6" max="6" width="23" style="170" customWidth="1"/>
    <col min="7" max="7" width="4" style="170" customWidth="1"/>
    <col min="8" max="8" width="7.42578125" style="170" customWidth="1"/>
    <col min="9" max="9" width="30.42578125" style="170" customWidth="1"/>
    <col min="10" max="10" width="11.42578125" style="170" customWidth="1"/>
    <col min="11" max="11" width="12.42578125" style="170" customWidth="1"/>
    <col min="12" max="12" width="32" style="170" customWidth="1"/>
    <col min="13" max="14" width="9.85546875" style="170" customWidth="1"/>
    <col min="15" max="15" width="2.140625" style="170" customWidth="1"/>
    <col min="16" max="16" width="6" style="170" customWidth="1"/>
    <col min="17" max="17" width="10.5703125" style="144" customWidth="1"/>
    <col min="18" max="18" width="3.85546875" style="144" customWidth="1"/>
    <col min="19" max="20" width="6" style="170" customWidth="1"/>
    <col min="21" max="21" width="0" hidden="1" customWidth="1"/>
    <col min="22" max="16384" width="0" style="170" hidden="1"/>
  </cols>
  <sheetData>
    <row r="1" spans="1:20" ht="20.25">
      <c r="A1" s="90" t="str">
        <f>"Balansräkning "&amp;År&amp;", miljoner kr"</f>
        <v>Balansräkning 2021, miljoner kr</v>
      </c>
      <c r="B1" s="91"/>
      <c r="C1" s="91"/>
      <c r="D1" s="92"/>
      <c r="E1" s="514" t="s">
        <v>457</v>
      </c>
      <c r="F1" s="515" t="str">
        <f>Information!A2</f>
        <v>RIKSTOTAL</v>
      </c>
      <c r="G1" s="515"/>
      <c r="H1" s="515"/>
      <c r="I1" s="515"/>
      <c r="J1" s="169"/>
      <c r="K1" s="169"/>
      <c r="L1" s="169"/>
      <c r="M1" s="169"/>
      <c r="N1" s="169"/>
      <c r="O1" s="196"/>
      <c r="P1" s="196"/>
      <c r="Q1" s="1516"/>
      <c r="R1" s="1516"/>
      <c r="S1" s="196"/>
      <c r="T1" s="169"/>
    </row>
    <row r="2" spans="1:20" ht="12.75" customHeight="1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7"/>
      <c r="P2" s="2197"/>
      <c r="Q2" s="2197"/>
      <c r="R2" s="2197"/>
      <c r="S2" s="2197"/>
      <c r="T2" s="2197"/>
    </row>
    <row r="3" spans="1:20" ht="12.75" customHeight="1" thickBo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  <c r="T3" s="2197"/>
    </row>
    <row r="4" spans="1:20" s="182" customFormat="1">
      <c r="A4" s="656" t="s">
        <v>631</v>
      </c>
      <c r="B4" s="2050" t="s">
        <v>1206</v>
      </c>
      <c r="C4" s="657" t="s">
        <v>738</v>
      </c>
      <c r="D4" s="676" t="s">
        <v>624</v>
      </c>
      <c r="E4" s="677" t="s">
        <v>736</v>
      </c>
      <c r="H4" s="181"/>
      <c r="I4" s="181"/>
      <c r="J4" s="181"/>
      <c r="K4" s="181"/>
      <c r="L4" s="181"/>
      <c r="M4" s="2471" t="s">
        <v>461</v>
      </c>
      <c r="N4" s="2484"/>
      <c r="O4" s="1325"/>
      <c r="P4" s="1260"/>
      <c r="Q4" s="1517"/>
      <c r="R4" s="1324"/>
      <c r="S4" s="1261"/>
      <c r="T4" s="1261"/>
    </row>
    <row r="5" spans="1:20" s="182" customFormat="1" ht="32.25" customHeight="1">
      <c r="A5" s="1514" t="s">
        <v>625</v>
      </c>
      <c r="B5" s="2482"/>
      <c r="C5" s="659"/>
      <c r="D5" s="678"/>
      <c r="E5" s="679"/>
      <c r="F5" s="181"/>
      <c r="G5" s="181"/>
      <c r="H5" s="181"/>
      <c r="I5" s="181"/>
      <c r="J5" s="181"/>
      <c r="K5" s="181"/>
      <c r="L5" s="181"/>
      <c r="M5" s="687" t="s">
        <v>624</v>
      </c>
      <c r="N5" s="688" t="s">
        <v>736</v>
      </c>
      <c r="O5" s="1325"/>
      <c r="P5" s="1260"/>
      <c r="Q5" s="1261"/>
      <c r="R5" s="1261"/>
      <c r="S5" s="2492"/>
      <c r="T5" s="2490"/>
    </row>
    <row r="6" spans="1:20" ht="15">
      <c r="A6" s="660"/>
      <c r="B6" s="2483"/>
      <c r="C6" s="661"/>
      <c r="D6" s="680"/>
      <c r="E6" s="681"/>
      <c r="F6" s="4"/>
      <c r="G6" s="4"/>
      <c r="H6" s="4"/>
      <c r="I6" s="4"/>
      <c r="J6" s="4"/>
      <c r="K6" s="4"/>
      <c r="L6" s="4"/>
      <c r="M6" s="689"/>
      <c r="N6" s="690"/>
      <c r="O6" s="1326"/>
      <c r="P6" s="1260"/>
      <c r="Q6" s="1333"/>
      <c r="R6" s="1333"/>
      <c r="S6" s="2492"/>
      <c r="T6" s="2491"/>
    </row>
    <row r="7" spans="1:20" ht="15">
      <c r="A7" s="662"/>
      <c r="B7" s="663"/>
      <c r="C7" s="664" t="s">
        <v>632</v>
      </c>
      <c r="D7" s="682"/>
      <c r="E7" s="683"/>
      <c r="F7" s="69"/>
      <c r="G7" s="4"/>
      <c r="H7" s="4"/>
      <c r="I7" s="4"/>
      <c r="J7" s="4"/>
      <c r="K7" s="4"/>
      <c r="L7" s="4"/>
      <c r="M7" s="691"/>
      <c r="N7" s="692"/>
      <c r="O7" s="72"/>
      <c r="P7" s="241"/>
      <c r="Q7" s="1518"/>
      <c r="R7" s="241"/>
    </row>
    <row r="8" spans="1:20" ht="7.5" customHeight="1">
      <c r="A8" s="662"/>
      <c r="B8" s="663"/>
      <c r="C8" s="665"/>
      <c r="D8" s="684"/>
      <c r="E8" s="685"/>
      <c r="F8" s="69"/>
      <c r="G8" s="4"/>
      <c r="H8" s="4"/>
      <c r="I8" s="4"/>
      <c r="J8" s="4"/>
      <c r="K8" s="4"/>
      <c r="L8" s="4"/>
      <c r="M8" s="691"/>
      <c r="N8" s="692"/>
      <c r="O8" s="72"/>
      <c r="P8" s="241"/>
      <c r="Q8" s="1518"/>
      <c r="R8" s="241"/>
    </row>
    <row r="9" spans="1:20" ht="14.45" customHeight="1">
      <c r="A9" s="2085" t="s">
        <v>290</v>
      </c>
      <c r="B9" s="666">
        <v>10</v>
      </c>
      <c r="C9" s="667" t="s">
        <v>633</v>
      </c>
      <c r="D9" s="186">
        <v>639.78099999999995</v>
      </c>
      <c r="E9" s="442">
        <v>2585.346</v>
      </c>
      <c r="F9" s="179" t="str">
        <f>IF(OR(D9="",E9=""),"Skriv belopp eller 0","")</f>
        <v/>
      </c>
      <c r="G9" s="4"/>
      <c r="H9" s="4"/>
      <c r="I9" s="4"/>
      <c r="J9" s="4"/>
      <c r="K9" s="4"/>
      <c r="L9" s="4"/>
      <c r="M9" s="693"/>
      <c r="N9" s="694"/>
      <c r="O9" s="1305"/>
      <c r="P9" s="1334"/>
      <c r="Q9" s="1519"/>
      <c r="R9" s="1520"/>
    </row>
    <row r="10" spans="1:20" ht="14.45" customHeight="1">
      <c r="A10" s="2085" t="s">
        <v>291</v>
      </c>
      <c r="B10" s="2086">
        <v>11</v>
      </c>
      <c r="C10" s="556" t="s">
        <v>634</v>
      </c>
      <c r="D10" s="186">
        <v>633367.549</v>
      </c>
      <c r="E10" s="686"/>
      <c r="F10" s="69"/>
      <c r="G10" s="4"/>
      <c r="H10" s="4"/>
      <c r="I10" s="4"/>
      <c r="J10" s="4"/>
      <c r="K10" s="4"/>
      <c r="L10" s="4"/>
      <c r="M10" s="695"/>
      <c r="N10" s="696"/>
      <c r="O10" s="1305"/>
      <c r="P10" s="1334"/>
      <c r="Q10" s="1334"/>
      <c r="R10" s="1334"/>
    </row>
    <row r="11" spans="1:20" ht="14.45" customHeight="1">
      <c r="A11" s="2085" t="s">
        <v>292</v>
      </c>
      <c r="B11" s="2086">
        <v>12</v>
      </c>
      <c r="C11" s="556" t="s">
        <v>635</v>
      </c>
      <c r="D11" s="186">
        <v>34597.599000000002</v>
      </c>
      <c r="E11" s="686"/>
      <c r="F11" s="69"/>
      <c r="G11" s="76" t="s">
        <v>462</v>
      </c>
      <c r="H11" s="4"/>
      <c r="I11" s="4"/>
      <c r="J11" s="4"/>
      <c r="K11" s="4"/>
      <c r="L11" s="4"/>
      <c r="M11" s="695"/>
      <c r="N11" s="696"/>
      <c r="O11" s="1305"/>
      <c r="P11" s="1334"/>
      <c r="Q11" s="1334"/>
      <c r="R11" s="1334"/>
    </row>
    <row r="12" spans="1:20" ht="14.45" customHeight="1">
      <c r="A12" s="2085" t="s">
        <v>283</v>
      </c>
      <c r="B12" s="2087">
        <v>11.12</v>
      </c>
      <c r="C12" s="669" t="s">
        <v>636</v>
      </c>
      <c r="D12" s="344">
        <f>SUM(D10:D11)</f>
        <v>667965.14800000004</v>
      </c>
      <c r="E12" s="187">
        <v>1536478.7350000001</v>
      </c>
      <c r="F12" s="179" t="str">
        <f>IF(D12&gt;E12,"konc. &lt; kom.",IF(OR(D12=0,E12=0),"Belopp saknas",""))</f>
        <v/>
      </c>
      <c r="G12" s="1486" t="s">
        <v>551</v>
      </c>
      <c r="H12" s="2063" t="s">
        <v>1206</v>
      </c>
      <c r="I12" s="1484"/>
      <c r="J12" s="1485"/>
      <c r="K12" s="172"/>
      <c r="L12" s="4"/>
      <c r="M12" s="623">
        <f>(D9+D12)*1000/invanare</f>
        <v>63967.094883952152</v>
      </c>
      <c r="N12" s="624">
        <f>(E9+E12)*1000/invanare</f>
        <v>147246.08484274219</v>
      </c>
      <c r="O12" s="1270"/>
      <c r="P12" s="1334"/>
      <c r="Q12" s="1520"/>
      <c r="R12" s="1520"/>
      <c r="S12" s="147"/>
      <c r="T12" s="147"/>
    </row>
    <row r="13" spans="1:20" ht="14.45" customHeight="1">
      <c r="A13" s="2085" t="s">
        <v>293</v>
      </c>
      <c r="B13" s="2088" t="s">
        <v>841</v>
      </c>
      <c r="C13" s="611" t="s">
        <v>637</v>
      </c>
      <c r="D13" s="188">
        <v>78915.024000000005</v>
      </c>
      <c r="E13" s="686"/>
      <c r="F13" s="69"/>
      <c r="G13" s="703" t="s">
        <v>297</v>
      </c>
      <c r="H13" s="704" t="s">
        <v>550</v>
      </c>
      <c r="I13" s="705" t="s">
        <v>0</v>
      </c>
      <c r="J13" s="287">
        <v>64637.089</v>
      </c>
      <c r="K13" s="2110"/>
      <c r="L13" s="4"/>
      <c r="M13" s="697"/>
      <c r="N13" s="698"/>
      <c r="O13" s="1270"/>
      <c r="P13" s="1334"/>
      <c r="Q13" s="1323"/>
      <c r="R13" s="1334"/>
      <c r="S13" s="300"/>
      <c r="T13" s="300"/>
    </row>
    <row r="14" spans="1:20" ht="14.45" customHeight="1">
      <c r="A14" s="2085" t="s">
        <v>294</v>
      </c>
      <c r="B14" s="2088" t="s">
        <v>840</v>
      </c>
      <c r="C14" s="561" t="s">
        <v>11</v>
      </c>
      <c r="D14" s="188">
        <v>2564.2759999999998</v>
      </c>
      <c r="E14" s="686"/>
      <c r="F14" s="69"/>
      <c r="G14" s="183"/>
      <c r="H14" s="4"/>
      <c r="I14" s="4"/>
      <c r="J14" s="142"/>
      <c r="K14" s="142"/>
      <c r="L14" s="4"/>
      <c r="M14" s="697"/>
      <c r="N14" s="698"/>
      <c r="O14" s="1270"/>
      <c r="P14" s="1334"/>
      <c r="Q14" s="1323"/>
      <c r="R14" s="1334"/>
    </row>
    <row r="15" spans="1:20" ht="14.45" customHeight="1">
      <c r="A15" s="2085" t="s">
        <v>295</v>
      </c>
      <c r="B15" s="2089" t="s">
        <v>4</v>
      </c>
      <c r="C15" s="568" t="s">
        <v>638</v>
      </c>
      <c r="D15" s="186">
        <v>230011.08799999999</v>
      </c>
      <c r="E15" s="686"/>
      <c r="F15" s="69"/>
      <c r="G15" s="703" t="s">
        <v>298</v>
      </c>
      <c r="H15" s="704" t="s">
        <v>740</v>
      </c>
      <c r="I15" s="1281" t="s">
        <v>1</v>
      </c>
      <c r="J15" s="287">
        <v>211402.38699999999</v>
      </c>
      <c r="K15" s="2110"/>
      <c r="L15" s="4"/>
      <c r="M15" s="699"/>
      <c r="N15" s="700"/>
      <c r="O15" s="2008"/>
      <c r="P15" s="1334"/>
      <c r="Q15" s="1334"/>
      <c r="R15" s="1334"/>
      <c r="S15" s="300"/>
      <c r="T15" s="300"/>
    </row>
    <row r="16" spans="1:20" ht="14.45" customHeight="1">
      <c r="A16" s="2085" t="s">
        <v>296</v>
      </c>
      <c r="B16" s="2086" t="s">
        <v>838</v>
      </c>
      <c r="C16" s="556" t="s">
        <v>839</v>
      </c>
      <c r="D16" s="186">
        <v>233.64</v>
      </c>
      <c r="E16" s="686"/>
      <c r="F16" s="69"/>
      <c r="G16" s="183"/>
      <c r="H16" s="4"/>
      <c r="I16" s="4"/>
      <c r="J16" s="142"/>
      <c r="K16" s="142"/>
      <c r="L16" s="4"/>
      <c r="M16" s="699"/>
      <c r="N16" s="700"/>
      <c r="O16" s="1270"/>
      <c r="P16" s="1334"/>
      <c r="Q16" s="1334"/>
      <c r="R16" s="1521"/>
    </row>
    <row r="17" spans="1:20" ht="14.45" customHeight="1">
      <c r="A17" s="2085" t="s">
        <v>299</v>
      </c>
      <c r="B17" s="2090" t="s">
        <v>7</v>
      </c>
      <c r="C17" s="667" t="s">
        <v>639</v>
      </c>
      <c r="D17" s="344">
        <f>SUM(D13:D16)</f>
        <v>311724.02799999999</v>
      </c>
      <c r="E17" s="189">
        <v>43259.307000000001</v>
      </c>
      <c r="F17" s="179" t="str">
        <f>IF(OR(D17=0,E17=""),"Belopp saknas","")</f>
        <v/>
      </c>
      <c r="G17" s="183"/>
      <c r="H17" s="4"/>
      <c r="I17" s="4"/>
      <c r="J17" s="4"/>
      <c r="K17" s="4"/>
      <c r="L17" s="4"/>
      <c r="M17" s="623">
        <f>D17*1000/invanare</f>
        <v>29823.41231989894</v>
      </c>
      <c r="N17" s="624">
        <f>E17*1000/invanare</f>
        <v>4138.7253899275629</v>
      </c>
      <c r="O17" s="1270"/>
      <c r="P17" s="1334"/>
      <c r="Q17" s="1521"/>
      <c r="R17" s="1521"/>
    </row>
    <row r="18" spans="1:20" ht="14.45" customHeight="1" thickBot="1">
      <c r="A18" s="2091" t="s">
        <v>300</v>
      </c>
      <c r="B18" s="2092" t="s">
        <v>8</v>
      </c>
      <c r="C18" s="570" t="s">
        <v>642</v>
      </c>
      <c r="D18" s="345">
        <f>SUM(D9,D12,D17)</f>
        <v>980328.95699999994</v>
      </c>
      <c r="E18" s="346">
        <f>SUM(E9,E12,E17)</f>
        <v>1582323.388</v>
      </c>
      <c r="F18" s="69"/>
      <c r="G18" s="183"/>
      <c r="H18" s="4"/>
      <c r="I18" s="4"/>
      <c r="J18" s="4"/>
      <c r="K18" s="4"/>
      <c r="L18" s="4"/>
      <c r="M18" s="697"/>
      <c r="N18" s="698"/>
      <c r="O18" s="1270"/>
      <c r="P18" s="1334"/>
      <c r="Q18" s="1521"/>
      <c r="R18" s="1521"/>
    </row>
    <row r="19" spans="1:20" ht="14.45" customHeight="1" thickBot="1">
      <c r="A19" s="2093" t="s">
        <v>310</v>
      </c>
      <c r="B19" s="2094" t="s">
        <v>6</v>
      </c>
      <c r="C19" s="539" t="s">
        <v>940</v>
      </c>
      <c r="D19" s="1339">
        <v>5451.2979999999998</v>
      </c>
      <c r="E19" s="292">
        <v>5451.2979999999998</v>
      </c>
      <c r="F19" s="179" t="str">
        <f>IF(D19&lt;0,"inga minusbelopp",IF(D19&lt;&gt;E19,"koncernen och kommunens belopp borde vara lika",""))</f>
        <v/>
      </c>
      <c r="G19" s="4"/>
      <c r="H19" s="4"/>
      <c r="I19" s="4"/>
      <c r="J19" s="4"/>
      <c r="K19" s="4"/>
      <c r="L19" s="4"/>
      <c r="M19" s="623">
        <f>D19*1000/invanare</f>
        <v>521.53922485770158</v>
      </c>
      <c r="N19" s="630">
        <f>E19*1000/invanare</f>
        <v>521.53922485770158</v>
      </c>
      <c r="O19" s="1270"/>
      <c r="P19" s="1334"/>
      <c r="Q19" s="1334"/>
      <c r="R19" s="1334"/>
    </row>
    <row r="20" spans="1:20" ht="14.45" customHeight="1">
      <c r="A20" s="2095"/>
      <c r="B20" s="2096"/>
      <c r="C20" s="672" t="s">
        <v>621</v>
      </c>
      <c r="D20" s="713"/>
      <c r="E20" s="714"/>
      <c r="F20" s="69"/>
      <c r="G20" s="1405" t="s">
        <v>919</v>
      </c>
      <c r="H20" s="1406" t="s">
        <v>909</v>
      </c>
      <c r="I20" s="1281" t="s">
        <v>912</v>
      </c>
      <c r="J20" s="2122">
        <v>11973.518</v>
      </c>
      <c r="K20" s="2120"/>
      <c r="L20" s="4"/>
      <c r="M20" s="701"/>
      <c r="N20" s="702"/>
      <c r="O20" s="1327"/>
      <c r="P20" s="300"/>
      <c r="Q20" s="300"/>
      <c r="R20" s="300"/>
      <c r="S20" s="300"/>
    </row>
    <row r="21" spans="1:20" ht="14.45" customHeight="1">
      <c r="A21" s="2085" t="s">
        <v>285</v>
      </c>
      <c r="B21" s="666">
        <v>14</v>
      </c>
      <c r="C21" s="556" t="s">
        <v>739</v>
      </c>
      <c r="D21" s="66">
        <v>13182.311</v>
      </c>
      <c r="E21" s="190">
        <v>18268.395</v>
      </c>
      <c r="F21" s="231" t="str">
        <f>IF(D21&gt;E21,"konc. &lt; kom.",IF(OR(D21="",E21=""),"Belopp saknas",IF(OR(D21&lt;-100,E21&lt;-100),"Kommentera varför minuspost","")))</f>
        <v/>
      </c>
      <c r="G21" s="1469"/>
      <c r="H21" s="1470"/>
      <c r="I21" s="1471"/>
      <c r="J21" s="142"/>
      <c r="K21" s="142"/>
      <c r="L21" s="185"/>
      <c r="M21" s="701"/>
      <c r="N21" s="702"/>
      <c r="O21" s="1327"/>
      <c r="P21" s="1334"/>
      <c r="Q21" s="1520"/>
      <c r="R21" s="1520"/>
    </row>
    <row r="22" spans="1:20" ht="14.45" customHeight="1">
      <c r="A22" s="2085" t="s">
        <v>301</v>
      </c>
      <c r="B22" s="2086" t="s">
        <v>643</v>
      </c>
      <c r="C22" s="556" t="s">
        <v>644</v>
      </c>
      <c r="D22" s="54">
        <v>10340.623</v>
      </c>
      <c r="E22" s="686"/>
      <c r="F22" s="1243"/>
      <c r="G22" s="2115" t="s">
        <v>302</v>
      </c>
      <c r="H22" s="2116" t="s">
        <v>760</v>
      </c>
      <c r="I22" s="2117" t="s">
        <v>1</v>
      </c>
      <c r="J22" s="2121">
        <v>1765.4079999999999</v>
      </c>
      <c r="K22" s="142"/>
      <c r="L22" s="4"/>
      <c r="M22" s="701"/>
      <c r="N22" s="702"/>
      <c r="O22" s="1327"/>
      <c r="P22" s="1334"/>
      <c r="Q22" s="1334"/>
      <c r="R22" s="1334"/>
      <c r="S22" s="300"/>
      <c r="T22" s="300"/>
    </row>
    <row r="23" spans="1:20" ht="14.45" customHeight="1">
      <c r="A23" s="2085" t="s">
        <v>286</v>
      </c>
      <c r="B23" s="2086" t="s">
        <v>645</v>
      </c>
      <c r="C23" s="556" t="s">
        <v>646</v>
      </c>
      <c r="D23" s="54">
        <v>140149.4</v>
      </c>
      <c r="E23" s="686"/>
      <c r="F23" s="1244"/>
      <c r="G23" s="1469"/>
      <c r="H23" s="1469"/>
      <c r="I23" s="2119"/>
      <c r="J23" s="142"/>
      <c r="K23" s="142"/>
      <c r="L23" s="4"/>
      <c r="M23" s="701"/>
      <c r="N23" s="702"/>
      <c r="O23" s="1327"/>
      <c r="P23" s="1334"/>
      <c r="Q23" s="1334"/>
      <c r="R23" s="1334"/>
    </row>
    <row r="24" spans="1:20" ht="14.45" customHeight="1">
      <c r="A24" s="2085" t="s">
        <v>304</v>
      </c>
      <c r="B24" s="2086" t="s">
        <v>176</v>
      </c>
      <c r="C24" s="556" t="s">
        <v>530</v>
      </c>
      <c r="D24" s="186">
        <v>23017.188999999998</v>
      </c>
      <c r="E24" s="686"/>
      <c r="F24" s="1244"/>
      <c r="G24" s="2118" t="s">
        <v>303</v>
      </c>
      <c r="H24" s="671" t="s">
        <v>647</v>
      </c>
      <c r="I24" s="2200" t="s">
        <v>1171</v>
      </c>
      <c r="J24" s="1537">
        <v>14432.83</v>
      </c>
      <c r="K24" s="142"/>
      <c r="M24" s="2123"/>
      <c r="N24" s="2124"/>
      <c r="O24" s="4"/>
      <c r="P24" s="1334"/>
      <c r="Q24" s="1334"/>
      <c r="R24" s="1334"/>
      <c r="S24" s="300"/>
      <c r="T24" s="300"/>
    </row>
    <row r="25" spans="1:20" ht="14.45" customHeight="1">
      <c r="A25" s="2085" t="s">
        <v>312</v>
      </c>
      <c r="B25" s="2086" t="s">
        <v>207</v>
      </c>
      <c r="C25" s="556" t="s">
        <v>486</v>
      </c>
      <c r="D25" s="186">
        <v>13109.918</v>
      </c>
      <c r="E25" s="686"/>
      <c r="F25" s="1244"/>
      <c r="G25" s="711" t="s">
        <v>311</v>
      </c>
      <c r="H25" s="1987" t="s">
        <v>1076</v>
      </c>
      <c r="I25" s="712" t="s">
        <v>1</v>
      </c>
      <c r="J25" s="2209">
        <v>110849.318</v>
      </c>
      <c r="L25" s="4"/>
      <c r="M25" s="701"/>
      <c r="N25" s="702"/>
      <c r="O25" s="1327"/>
      <c r="P25" s="1334"/>
      <c r="Q25" s="1334"/>
      <c r="R25" s="1334"/>
      <c r="S25" s="300"/>
      <c r="T25" s="300"/>
    </row>
    <row r="26" spans="1:20" ht="14.45" customHeight="1">
      <c r="A26" s="2097" t="s">
        <v>988</v>
      </c>
      <c r="B26" s="666" t="s">
        <v>989</v>
      </c>
      <c r="C26" s="577" t="s">
        <v>990</v>
      </c>
      <c r="D26" s="344">
        <f>SUM(D22:D25)</f>
        <v>186617.13</v>
      </c>
      <c r="E26" s="1953">
        <v>106494.303</v>
      </c>
      <c r="F26" s="231" t="str">
        <f>IF(OR(D26=0,E26=""),"Belopp saknas","")</f>
        <v/>
      </c>
      <c r="G26" s="1334"/>
      <c r="H26" s="1334"/>
      <c r="I26" s="1260"/>
      <c r="J26" s="1866"/>
      <c r="K26" s="142"/>
      <c r="L26" s="4"/>
      <c r="M26" s="701"/>
      <c r="N26" s="702"/>
      <c r="O26" s="1327"/>
      <c r="P26" s="1334"/>
      <c r="Q26" s="1334"/>
      <c r="R26" s="1334"/>
      <c r="S26" s="300"/>
      <c r="T26" s="300"/>
    </row>
    <row r="27" spans="1:20" ht="14.45" customHeight="1">
      <c r="A27" s="2085" t="s">
        <v>305</v>
      </c>
      <c r="B27" s="2088" t="s">
        <v>648</v>
      </c>
      <c r="C27" s="2201" t="s">
        <v>1196</v>
      </c>
      <c r="D27" s="186">
        <v>41261.447999999997</v>
      </c>
      <c r="E27" s="686"/>
      <c r="F27" s="1244"/>
      <c r="G27" s="2037"/>
      <c r="H27" s="1535"/>
      <c r="I27" s="147"/>
      <c r="J27" s="142"/>
      <c r="K27" s="1461"/>
      <c r="L27" s="4"/>
      <c r="M27" s="701"/>
      <c r="N27" s="702"/>
      <c r="O27" s="1327"/>
      <c r="P27" s="1334"/>
      <c r="Q27" s="1323"/>
      <c r="R27" s="1334"/>
      <c r="S27" s="300"/>
      <c r="T27" s="300"/>
    </row>
    <row r="28" spans="1:20" ht="14.45" customHeight="1">
      <c r="A28" s="2085" t="s">
        <v>306</v>
      </c>
      <c r="B28" s="2088" t="s">
        <v>649</v>
      </c>
      <c r="C28" s="2201" t="s">
        <v>1205</v>
      </c>
      <c r="D28" s="186">
        <v>18925.913</v>
      </c>
      <c r="E28" s="686"/>
      <c r="F28" s="1244"/>
      <c r="G28" s="1535"/>
      <c r="H28" s="1535"/>
      <c r="I28" s="147"/>
      <c r="K28" s="142"/>
      <c r="L28" s="4"/>
      <c r="M28" s="701"/>
      <c r="N28" s="702"/>
      <c r="O28" s="1327"/>
      <c r="P28" s="1334"/>
      <c r="Q28" s="1323"/>
      <c r="R28" s="1334"/>
    </row>
    <row r="29" spans="1:20" ht="14.45" customHeight="1">
      <c r="A29" s="2085" t="s">
        <v>307</v>
      </c>
      <c r="B29" s="2088" t="s">
        <v>650</v>
      </c>
      <c r="C29" s="561" t="s">
        <v>651</v>
      </c>
      <c r="D29" s="186">
        <v>381.57600000000002</v>
      </c>
      <c r="E29" s="686"/>
      <c r="F29" s="1244"/>
      <c r="G29" s="2037"/>
      <c r="H29" s="1535"/>
      <c r="I29" s="147"/>
      <c r="J29" s="142"/>
      <c r="K29" s="4"/>
      <c r="L29" s="4"/>
      <c r="M29" s="701"/>
      <c r="N29" s="702"/>
      <c r="O29" s="1327"/>
      <c r="P29" s="1334"/>
      <c r="Q29" s="1323"/>
      <c r="R29" s="1334"/>
    </row>
    <row r="30" spans="1:20" ht="14.45" customHeight="1">
      <c r="A30" s="2097" t="s">
        <v>287</v>
      </c>
      <c r="B30" s="666" t="s">
        <v>991</v>
      </c>
      <c r="C30" s="577" t="s">
        <v>1104</v>
      </c>
      <c r="D30" s="344">
        <f>SUM(D27:D29)</f>
        <v>60568.936999999998</v>
      </c>
      <c r="E30" s="190">
        <v>60880.635000000002</v>
      </c>
      <c r="F30" s="231" t="str">
        <f>IF(OR(D27="",D28="",D29=""),"Skriv belopp eller 0 på raderna 053-056 för kommunen",IF(E30="","Skriv belopp eller 0 för koncernen",""))</f>
        <v/>
      </c>
      <c r="G30" s="1535"/>
      <c r="H30" s="1535"/>
      <c r="I30" s="147"/>
      <c r="J30" s="1334"/>
      <c r="K30" s="4"/>
      <c r="L30" s="4"/>
      <c r="M30" s="701"/>
      <c r="N30" s="702"/>
      <c r="O30" s="1327"/>
      <c r="P30" s="1334"/>
      <c r="Q30" s="1520"/>
      <c r="R30" s="1520"/>
    </row>
    <row r="31" spans="1:20" ht="14.45" customHeight="1">
      <c r="A31" s="2085" t="s">
        <v>308</v>
      </c>
      <c r="B31" s="666">
        <v>19</v>
      </c>
      <c r="C31" s="577" t="s">
        <v>1105</v>
      </c>
      <c r="D31" s="186">
        <v>52983.66</v>
      </c>
      <c r="E31" s="190">
        <v>68970.81</v>
      </c>
      <c r="F31" s="231" t="str">
        <f>IF(D31&gt;E31,"konc. &lt; kom.",IF(OR(D31&lt;0,E31&lt;0),"Varför minusbelopp?",IF(OR(D31=0,E31=0),"Belopp saknas","")))</f>
        <v/>
      </c>
      <c r="G31" s="1535"/>
      <c r="H31" s="1535"/>
      <c r="I31" s="147"/>
      <c r="K31" s="4"/>
      <c r="L31" s="4"/>
      <c r="M31" s="701"/>
      <c r="N31" s="702"/>
      <c r="O31" s="1327"/>
      <c r="P31" s="1334"/>
      <c r="Q31" s="1520"/>
      <c r="R31" s="1520"/>
    </row>
    <row r="32" spans="1:20" ht="14.45" customHeight="1" thickBot="1">
      <c r="A32" s="2098" t="s">
        <v>309</v>
      </c>
      <c r="B32" s="673" t="s">
        <v>652</v>
      </c>
      <c r="C32" s="570" t="s">
        <v>653</v>
      </c>
      <c r="D32" s="347">
        <f>SUM(D21,D26,D30,D31)</f>
        <v>313352.038</v>
      </c>
      <c r="E32" s="348">
        <f>SUM(E21,E26,E30,E31)</f>
        <v>254614.14300000001</v>
      </c>
      <c r="F32" s="1244"/>
      <c r="G32" s="172"/>
      <c r="H32" s="172"/>
      <c r="I32" s="172"/>
      <c r="J32" s="172"/>
      <c r="K32" s="4"/>
      <c r="L32" s="4"/>
      <c r="M32" s="626">
        <f>D32*1000/invanare</f>
        <v>29979.168081822172</v>
      </c>
      <c r="N32" s="633">
        <f>E32*1000/invanare</f>
        <v>24359.567717271737</v>
      </c>
      <c r="O32" s="1270"/>
      <c r="P32" s="1334"/>
      <c r="Q32" s="1520"/>
      <c r="R32" s="1520"/>
    </row>
    <row r="33" spans="1:19" ht="14.45" customHeight="1" thickBot="1">
      <c r="A33" s="2099" t="s">
        <v>288</v>
      </c>
      <c r="B33" s="674" t="s">
        <v>654</v>
      </c>
      <c r="C33" s="675" t="s">
        <v>655</v>
      </c>
      <c r="D33" s="350">
        <f>SUM(D18,D19,D32)</f>
        <v>1299132.2929999998</v>
      </c>
      <c r="E33" s="349">
        <f>SUM(E18,E19,E32)</f>
        <v>1842388.8289999999</v>
      </c>
      <c r="F33" s="1244"/>
      <c r="G33" s="172"/>
      <c r="H33" s="172"/>
      <c r="I33" s="172"/>
      <c r="J33" s="172"/>
      <c r="K33" s="4"/>
      <c r="L33" s="4"/>
      <c r="M33" s="4"/>
      <c r="N33" s="4"/>
      <c r="P33" s="1334"/>
      <c r="Q33" s="1520"/>
      <c r="R33" s="1520"/>
    </row>
    <row r="34" spans="1:19" ht="14.45" customHeight="1">
      <c r="A34" s="1334"/>
      <c r="B34" s="1520"/>
      <c r="C34" s="18"/>
      <c r="D34" s="1305"/>
      <c r="E34" s="1305"/>
      <c r="F34" s="1244"/>
      <c r="G34" s="172"/>
      <c r="H34" s="172"/>
      <c r="I34" s="172"/>
      <c r="J34" s="172"/>
      <c r="K34" s="4"/>
      <c r="L34" s="4"/>
      <c r="M34" s="4"/>
      <c r="N34" s="4"/>
      <c r="P34" s="1334"/>
      <c r="Q34" s="1520"/>
      <c r="R34" s="1520"/>
    </row>
    <row r="35" spans="1:19" ht="14.45" customHeight="1">
      <c r="A35" s="6"/>
      <c r="B35" s="7"/>
      <c r="C35" s="8"/>
      <c r="D35" s="9"/>
      <c r="E35" s="9"/>
      <c r="F35" s="1244"/>
      <c r="G35" s="172"/>
      <c r="H35" s="172"/>
      <c r="I35" s="172"/>
      <c r="J35" s="172"/>
      <c r="K35" s="4"/>
      <c r="L35" s="4"/>
      <c r="M35" s="4"/>
      <c r="N35" s="4"/>
      <c r="Q35" s="1333"/>
      <c r="R35" s="1260"/>
    </row>
    <row r="36" spans="1:19" ht="14.45" customHeight="1" thickBot="1">
      <c r="A36" s="1"/>
      <c r="B36" s="7"/>
      <c r="C36" s="8"/>
      <c r="D36" s="9"/>
      <c r="E36" s="9"/>
      <c r="F36" s="1244"/>
      <c r="G36" s="172"/>
      <c r="H36" s="172"/>
      <c r="I36" s="172"/>
      <c r="J36" s="172"/>
      <c r="K36" s="4"/>
      <c r="L36" s="4"/>
      <c r="M36" s="4"/>
      <c r="N36" s="4"/>
      <c r="Q36" s="1333"/>
      <c r="R36" s="1260"/>
    </row>
    <row r="37" spans="1:19" ht="14.45" customHeight="1">
      <c r="A37" s="656" t="s">
        <v>631</v>
      </c>
      <c r="B37" s="2050" t="s">
        <v>1206</v>
      </c>
      <c r="C37" s="715" t="s">
        <v>361</v>
      </c>
      <c r="D37" s="676" t="s">
        <v>624</v>
      </c>
      <c r="E37" s="677" t="s">
        <v>736</v>
      </c>
      <c r="F37" s="1244"/>
      <c r="G37" s="172"/>
      <c r="H37" s="172"/>
      <c r="I37" s="172"/>
      <c r="J37" s="172"/>
      <c r="K37" s="4"/>
      <c r="L37" s="4"/>
      <c r="M37" s="2485" t="s">
        <v>461</v>
      </c>
      <c r="N37" s="2486"/>
      <c r="O37" s="1328"/>
      <c r="P37" s="1260"/>
      <c r="Q37" s="1324"/>
      <c r="R37" s="1520"/>
      <c r="S37" s="1324"/>
    </row>
    <row r="38" spans="1:19" ht="14.45" customHeight="1">
      <c r="A38" s="1515" t="s">
        <v>625</v>
      </c>
      <c r="B38" s="716"/>
      <c r="C38" s="717"/>
      <c r="D38" s="718"/>
      <c r="E38" s="719"/>
      <c r="F38" s="1244"/>
      <c r="G38" s="172"/>
      <c r="H38" s="172"/>
      <c r="I38" s="172"/>
      <c r="J38" s="172"/>
      <c r="K38" s="4"/>
      <c r="L38" s="4"/>
      <c r="M38" s="733" t="s">
        <v>624</v>
      </c>
      <c r="N38" s="734" t="s">
        <v>736</v>
      </c>
      <c r="O38" s="1329"/>
      <c r="P38" s="1260"/>
      <c r="Q38" s="1324"/>
      <c r="R38" s="1520"/>
      <c r="S38" s="1522"/>
    </row>
    <row r="39" spans="1:19" ht="14.45" customHeight="1">
      <c r="A39" s="585" t="s">
        <v>313</v>
      </c>
      <c r="B39" s="668">
        <v>201</v>
      </c>
      <c r="C39" s="556" t="s">
        <v>656</v>
      </c>
      <c r="D39" s="351">
        <v>524770.31900000002</v>
      </c>
      <c r="E39" s="348">
        <v>689355.80200000003</v>
      </c>
      <c r="F39" s="1684"/>
      <c r="G39" s="172"/>
      <c r="H39" s="172"/>
      <c r="I39" s="172"/>
      <c r="J39" s="172"/>
      <c r="K39" s="4"/>
      <c r="L39" s="4"/>
      <c r="M39" s="735"/>
      <c r="N39" s="736"/>
      <c r="O39" s="1305"/>
      <c r="P39" s="1334"/>
      <c r="Q39" s="1334"/>
      <c r="R39" s="1334"/>
      <c r="S39" s="1503"/>
    </row>
    <row r="40" spans="1:19" ht="14.45" customHeight="1">
      <c r="A40" s="585" t="s">
        <v>1134</v>
      </c>
      <c r="B40" s="668" t="s">
        <v>1087</v>
      </c>
      <c r="C40" s="556" t="s">
        <v>1088</v>
      </c>
      <c r="D40" s="2010">
        <v>1146.4680000000001</v>
      </c>
      <c r="E40" s="2011">
        <v>272.23099999999999</v>
      </c>
      <c r="F40" s="1245"/>
      <c r="G40" s="172"/>
      <c r="H40" s="172"/>
      <c r="I40" s="172"/>
      <c r="J40" s="172"/>
      <c r="K40" s="4"/>
      <c r="L40" s="4"/>
      <c r="M40" s="735"/>
      <c r="N40" s="736"/>
      <c r="O40" s="1305"/>
      <c r="P40" s="1334"/>
      <c r="Q40" s="1334"/>
      <c r="R40" s="1334"/>
      <c r="S40" s="2009"/>
    </row>
    <row r="41" spans="1:19" ht="14.45" customHeight="1">
      <c r="A41" s="585" t="s">
        <v>314</v>
      </c>
      <c r="B41" s="668">
        <v>202</v>
      </c>
      <c r="C41" s="556" t="s">
        <v>630</v>
      </c>
      <c r="D41" s="98">
        <f>RR!C18</f>
        <v>45721.795000000078</v>
      </c>
      <c r="E41" s="1221">
        <f>RR!D18</f>
        <v>65806.982000000062</v>
      </c>
      <c r="F41" s="231"/>
      <c r="G41" s="4"/>
      <c r="H41" s="4"/>
      <c r="I41" s="4"/>
      <c r="J41" s="4"/>
      <c r="K41" s="4"/>
      <c r="L41" s="4"/>
      <c r="M41" s="735"/>
      <c r="N41" s="736"/>
      <c r="O41" s="1305"/>
      <c r="P41" s="1334"/>
      <c r="Q41" s="1334"/>
      <c r="R41" s="1334"/>
    </row>
    <row r="42" spans="1:19" ht="14.45" customHeight="1">
      <c r="A42" s="587" t="s">
        <v>825</v>
      </c>
      <c r="B42" s="2019"/>
      <c r="C42" s="561" t="s">
        <v>1106</v>
      </c>
      <c r="D42" s="54">
        <v>-279.137</v>
      </c>
      <c r="E42" s="178">
        <v>293.55900000000003</v>
      </c>
      <c r="F42" s="231"/>
      <c r="G42" s="4"/>
      <c r="H42" s="4"/>
      <c r="I42" s="4"/>
      <c r="J42" s="4"/>
      <c r="K42" s="4"/>
      <c r="L42" s="4"/>
      <c r="M42" s="735"/>
      <c r="N42" s="736"/>
      <c r="O42" s="1305"/>
      <c r="P42" s="1334"/>
      <c r="Q42" s="1334"/>
      <c r="R42" s="1334"/>
    </row>
    <row r="43" spans="1:19" ht="17.25" customHeight="1">
      <c r="A43" s="587" t="s">
        <v>315</v>
      </c>
      <c r="B43" s="725" t="s">
        <v>852</v>
      </c>
      <c r="C43" s="726" t="s">
        <v>853</v>
      </c>
      <c r="D43" s="351">
        <f>SUM(D39:D42)</f>
        <v>571359.44500000007</v>
      </c>
      <c r="E43" s="348">
        <f>SUM(E39:E42)</f>
        <v>755728.57400000014</v>
      </c>
      <c r="F43" s="231"/>
      <c r="G43" s="4"/>
      <c r="H43" s="4"/>
      <c r="I43" s="4"/>
      <c r="J43" s="4"/>
      <c r="K43" s="4"/>
      <c r="L43" s="4"/>
      <c r="M43" s="737">
        <f>D43*1000/invanare</f>
        <v>54663.377797439549</v>
      </c>
      <c r="N43" s="624">
        <f>E43*1000/invanare</f>
        <v>72302.430482937503</v>
      </c>
      <c r="O43" s="1305"/>
      <c r="P43" s="1334"/>
      <c r="Q43" s="1520"/>
      <c r="R43" s="1334"/>
    </row>
    <row r="44" spans="1:19" ht="15" customHeight="1" thickBot="1">
      <c r="A44" s="588" t="s">
        <v>824</v>
      </c>
      <c r="B44" s="2150"/>
      <c r="C44" s="1052" t="s">
        <v>854</v>
      </c>
      <c r="D44" s="2155">
        <v>30093.416000000001</v>
      </c>
      <c r="E44" s="2156">
        <v>30115.282999999999</v>
      </c>
      <c r="F44" s="231"/>
      <c r="G44" s="2197"/>
      <c r="H44" s="2197"/>
      <c r="I44" s="2197"/>
      <c r="J44" s="2197"/>
      <c r="K44" s="2197"/>
      <c r="L44" s="4"/>
      <c r="M44" s="735"/>
      <c r="N44" s="736"/>
      <c r="O44" s="2008"/>
      <c r="P44" s="1334"/>
      <c r="Q44" s="1334"/>
      <c r="R44" s="1334"/>
    </row>
    <row r="45" spans="1:19" ht="18.75" customHeight="1">
      <c r="A45" s="609" t="s">
        <v>316</v>
      </c>
      <c r="B45" s="1417" t="s">
        <v>657</v>
      </c>
      <c r="C45" s="795" t="s">
        <v>835</v>
      </c>
      <c r="D45" s="186">
        <v>43876.481</v>
      </c>
      <c r="E45" s="2178"/>
      <c r="F45" s="231" t="str">
        <f>IF(D45=0,"Varför saknas avsättningar för pensioner?","")</f>
        <v/>
      </c>
      <c r="G45" s="2197"/>
      <c r="H45" s="2197"/>
      <c r="I45" s="2197"/>
      <c r="J45" s="2197"/>
      <c r="K45" s="2197"/>
      <c r="L45" s="4"/>
      <c r="M45" s="1384"/>
      <c r="N45" s="629"/>
      <c r="O45" s="1270"/>
      <c r="P45" s="1334"/>
      <c r="Q45" s="1520"/>
      <c r="R45" s="1520"/>
    </row>
    <row r="46" spans="1:19" ht="14.45" customHeight="1">
      <c r="A46" s="585" t="s">
        <v>317</v>
      </c>
      <c r="B46" s="668" t="s">
        <v>658</v>
      </c>
      <c r="C46" s="556" t="s">
        <v>836</v>
      </c>
      <c r="D46" s="186">
        <v>1001.349</v>
      </c>
      <c r="E46" s="720"/>
      <c r="F46" s="231"/>
      <c r="G46" s="181" t="s">
        <v>1032</v>
      </c>
      <c r="H46" s="4"/>
      <c r="I46" s="4"/>
      <c r="J46" s="4"/>
      <c r="K46" s="4"/>
      <c r="L46" s="4"/>
      <c r="M46" s="738"/>
      <c r="N46" s="739"/>
      <c r="O46" s="1270"/>
      <c r="P46" s="1334"/>
      <c r="Q46" s="1334"/>
      <c r="R46" s="1334"/>
    </row>
    <row r="47" spans="1:19" ht="14.45" customHeight="1">
      <c r="A47" s="585" t="s">
        <v>318</v>
      </c>
      <c r="B47" s="721" t="s">
        <v>659</v>
      </c>
      <c r="C47" s="722" t="s">
        <v>775</v>
      </c>
      <c r="D47" s="186">
        <v>10760.335999999999</v>
      </c>
      <c r="E47" s="720"/>
      <c r="F47" s="1244" t="str">
        <f>IF(D47=0,"Varför saknas avsättningar för särskild löneskatt pens.?","")</f>
        <v/>
      </c>
      <c r="G47" s="76"/>
      <c r="H47" s="4"/>
      <c r="I47" s="4"/>
      <c r="J47" s="207"/>
      <c r="L47" s="4"/>
      <c r="M47" s="623">
        <f>SUM(D45:D47)*1000/invanare</f>
        <v>5323.0415890204731</v>
      </c>
      <c r="N47" s="740"/>
      <c r="O47" s="1270"/>
      <c r="P47" s="1334"/>
      <c r="Q47" s="1334"/>
      <c r="R47" s="1334"/>
    </row>
    <row r="48" spans="1:19" ht="14.45" customHeight="1">
      <c r="A48" s="587" t="s">
        <v>319</v>
      </c>
      <c r="B48" s="2148" t="s">
        <v>660</v>
      </c>
      <c r="C48" s="2149" t="s">
        <v>661</v>
      </c>
      <c r="D48" s="186">
        <v>29301.936000000002</v>
      </c>
      <c r="E48" s="720"/>
      <c r="F48" s="231"/>
      <c r="G48" s="4"/>
      <c r="H48" s="4"/>
      <c r="I48" s="15"/>
      <c r="J48" s="1699" t="s">
        <v>624</v>
      </c>
      <c r="L48" s="1694"/>
      <c r="M48" s="741">
        <f>D48*1000/invanare</f>
        <v>2803.3890255623487</v>
      </c>
      <c r="N48" s="2168"/>
      <c r="O48" s="1270"/>
      <c r="P48" s="1334"/>
      <c r="Q48" s="1334"/>
      <c r="R48" s="1334"/>
    </row>
    <row r="49" spans="1:20" ht="14.45" customHeight="1" thickBot="1">
      <c r="A49" s="1871" t="s">
        <v>320</v>
      </c>
      <c r="B49" s="2154" t="s">
        <v>1179</v>
      </c>
      <c r="C49" s="573" t="s">
        <v>663</v>
      </c>
      <c r="D49" s="2147">
        <f>SUM(D45:D48)</f>
        <v>84940.101999999999</v>
      </c>
      <c r="E49" s="2175">
        <v>128062.928</v>
      </c>
      <c r="F49" s="1244" t="str">
        <f>IF(D49&gt;E49,"konc. &lt; komm.",IF(OR(D49=0,E49=0),"Belopp saknas",""))</f>
        <v/>
      </c>
      <c r="G49" s="703" t="s">
        <v>289</v>
      </c>
      <c r="H49" s="704" t="s">
        <v>662</v>
      </c>
      <c r="I49" s="1690" t="s">
        <v>1107</v>
      </c>
      <c r="J49" s="1693">
        <v>3229.9520000000002</v>
      </c>
      <c r="K49" s="1689"/>
      <c r="L49" s="1842"/>
      <c r="M49" s="623">
        <f>D49*1000/invanare</f>
        <v>8126.4306145828214</v>
      </c>
      <c r="N49" s="2166">
        <f>E49*1000/invanare</f>
        <v>12252.098528117092</v>
      </c>
      <c r="O49" s="1270"/>
      <c r="P49" s="1334"/>
      <c r="Q49" s="1334"/>
      <c r="R49" s="1334"/>
      <c r="S49" s="300"/>
      <c r="T49" s="300"/>
    </row>
    <row r="50" spans="1:20" ht="14.45" customHeight="1">
      <c r="A50" s="2198" t="s">
        <v>1186</v>
      </c>
      <c r="B50" s="2199" t="s">
        <v>1180</v>
      </c>
      <c r="C50" s="2202" t="s">
        <v>1181</v>
      </c>
      <c r="D50" s="2151">
        <v>106605.194</v>
      </c>
      <c r="E50" s="2152">
        <v>114691.17</v>
      </c>
      <c r="F50" s="2153" t="str">
        <f>IF(D50&gt;E50,"konc. &lt; komm.",IF(OR(D50="",E50=""),"Skriv belopp eller 0",""))</f>
        <v/>
      </c>
      <c r="G50" s="1405" t="s">
        <v>992</v>
      </c>
      <c r="H50" s="1406" t="s">
        <v>1039</v>
      </c>
      <c r="I50" s="1690" t="s">
        <v>993</v>
      </c>
      <c r="J50" s="1693">
        <v>20114.967000000001</v>
      </c>
      <c r="K50" s="1689"/>
      <c r="M50" s="699"/>
      <c r="N50" s="2167"/>
      <c r="O50" s="2165"/>
      <c r="P50" s="1334"/>
      <c r="Q50" s="1520"/>
      <c r="R50" s="1520"/>
    </row>
    <row r="51" spans="1:20" ht="14.45" customHeight="1">
      <c r="A51" s="587" t="s">
        <v>321</v>
      </c>
      <c r="B51" s="668">
        <v>234</v>
      </c>
      <c r="C51" s="561" t="s">
        <v>664</v>
      </c>
      <c r="D51" s="186">
        <v>246002.31400000001</v>
      </c>
      <c r="E51" s="1953">
        <v>484098.54700000002</v>
      </c>
      <c r="F51" s="231" t="str">
        <f>IF(D51&gt;E51,"konc. &lt; komm.",IF(OR(D51="",E51=""),"Skriv belopp eller 0",""))</f>
        <v/>
      </c>
      <c r="G51" s="183"/>
      <c r="H51" s="4"/>
      <c r="I51" s="172"/>
      <c r="J51" s="142"/>
      <c r="K51" s="172"/>
      <c r="L51" s="1842"/>
      <c r="M51" s="738"/>
      <c r="N51" s="739"/>
      <c r="O51" s="1270"/>
      <c r="P51" s="1334"/>
      <c r="Q51" s="1334"/>
      <c r="R51" s="1334"/>
    </row>
    <row r="52" spans="1:20" ht="14.45" customHeight="1">
      <c r="A52" s="585" t="s">
        <v>322</v>
      </c>
      <c r="B52" s="668">
        <v>235</v>
      </c>
      <c r="C52" s="556" t="s">
        <v>665</v>
      </c>
      <c r="D52" s="186">
        <v>12498.221</v>
      </c>
      <c r="E52" s="1687">
        <v>12409.478999999999</v>
      </c>
      <c r="F52" s="231" t="str">
        <f>IF(OR(D52="",E52=""),"Skriv belopp eller 0","")</f>
        <v/>
      </c>
      <c r="G52" s="183"/>
      <c r="H52" s="4"/>
      <c r="I52" s="172"/>
      <c r="J52" s="217"/>
      <c r="K52" s="1696"/>
      <c r="L52" s="1842"/>
      <c r="M52" s="738"/>
      <c r="N52" s="739"/>
      <c r="O52" s="1270"/>
      <c r="P52" s="1334"/>
      <c r="Q52" s="1334"/>
      <c r="R52" s="1334"/>
    </row>
    <row r="53" spans="1:20" ht="14.45" customHeight="1">
      <c r="A53" s="585" t="s">
        <v>323</v>
      </c>
      <c r="B53" s="668">
        <v>236</v>
      </c>
      <c r="C53" s="556" t="s">
        <v>666</v>
      </c>
      <c r="D53" s="186">
        <v>2708.7150000000001</v>
      </c>
      <c r="E53" s="720"/>
      <c r="F53" s="1244"/>
      <c r="G53" s="183"/>
      <c r="H53" s="4"/>
      <c r="I53" s="1697"/>
      <c r="J53" s="1691" t="s">
        <v>624</v>
      </c>
      <c r="K53" s="1692" t="s">
        <v>736</v>
      </c>
      <c r="L53" s="201"/>
      <c r="M53" s="738"/>
      <c r="N53" s="739"/>
      <c r="O53" s="1270"/>
      <c r="P53" s="1334"/>
      <c r="Q53" s="1334"/>
      <c r="R53" s="1334"/>
    </row>
    <row r="54" spans="1:20" ht="14.45" customHeight="1">
      <c r="A54" s="585" t="s">
        <v>324</v>
      </c>
      <c r="B54" s="668" t="s">
        <v>798</v>
      </c>
      <c r="C54" s="556" t="s">
        <v>1047</v>
      </c>
      <c r="D54" s="191">
        <v>9197.2739999999994</v>
      </c>
      <c r="E54" s="1687">
        <v>17276.866000000002</v>
      </c>
      <c r="F54" s="231" t="str">
        <f>IF(OR(D54="",E54=""),"Skriv belopp eller 0","")</f>
        <v/>
      </c>
      <c r="G54" s="1405" t="s">
        <v>994</v>
      </c>
      <c r="H54" s="2204" t="s">
        <v>1037</v>
      </c>
      <c r="I54" s="2206" t="s">
        <v>1172</v>
      </c>
      <c r="J54" s="1693">
        <v>13324.948</v>
      </c>
      <c r="K54" s="1693">
        <v>15004.896000000001</v>
      </c>
      <c r="L54" s="1842"/>
      <c r="M54" s="699"/>
      <c r="N54" s="739"/>
      <c r="O54" s="1270"/>
      <c r="P54" s="1334"/>
      <c r="Q54" s="1334"/>
      <c r="R54" s="1334"/>
      <c r="S54" s="1260"/>
      <c r="T54" s="1260"/>
    </row>
    <row r="55" spans="1:20" ht="19.5" customHeight="1">
      <c r="A55" s="585" t="s">
        <v>823</v>
      </c>
      <c r="B55" s="668" t="s">
        <v>797</v>
      </c>
      <c r="C55" s="593" t="s">
        <v>1145</v>
      </c>
      <c r="D55" s="191">
        <v>27309.165000000001</v>
      </c>
      <c r="E55" s="1687">
        <v>34459.254999999997</v>
      </c>
      <c r="F55" s="231" t="str">
        <f>IF(D55&gt;E55,"konc. &lt; komm.",IF(OR(D55="",E55=""),"Skriv belopp eller 0",""))</f>
        <v/>
      </c>
      <c r="G55" s="1698"/>
      <c r="H55" s="1698"/>
      <c r="I55" s="1471"/>
      <c r="J55" s="142" t="str">
        <f>IF(AND(D55=0,J54=0),"",IF(SUM(J54)&gt;D55,"Däravrad 132 &gt; rad 087",IF(AND(D55&gt;10,J54=""),"Rad 132: skriv belopp eller 0","")))</f>
        <v/>
      </c>
      <c r="K55" s="142" t="str">
        <f>IF(AND(E55=0,K54=0),"",IF(SUM(K54)&gt;E55,"Däravrad 132 &gt; rad 087",IF(AND(E55&gt;10,K54=""),"Rad 132: skriv belopp eller 0",IF(J54&gt;K54,"konc.&lt;kommun",""))))</f>
        <v/>
      </c>
      <c r="L55" s="185"/>
      <c r="M55" s="699"/>
      <c r="N55" s="739"/>
      <c r="O55" s="1270"/>
      <c r="P55" s="1334"/>
      <c r="Q55" s="1334"/>
      <c r="R55" s="1334"/>
      <c r="S55" s="1260"/>
      <c r="T55" s="1260"/>
    </row>
    <row r="56" spans="1:20" ht="14.45" customHeight="1">
      <c r="A56" s="585" t="s">
        <v>325</v>
      </c>
      <c r="B56" s="670" t="s">
        <v>667</v>
      </c>
      <c r="C56" s="611" t="s">
        <v>668</v>
      </c>
      <c r="D56" s="192">
        <v>21209.559000000001</v>
      </c>
      <c r="E56" s="1687">
        <v>11025.55</v>
      </c>
      <c r="F56" s="231"/>
      <c r="G56" s="1409" t="s">
        <v>995</v>
      </c>
      <c r="H56" s="1410" t="s">
        <v>1038</v>
      </c>
      <c r="I56" s="2207" t="s">
        <v>1203</v>
      </c>
      <c r="J56" s="1886">
        <v>53150.557999999997</v>
      </c>
      <c r="K56" s="1887">
        <v>56620.517999999996</v>
      </c>
      <c r="L56" s="1245" t="str">
        <f>IF(AND(D57=0,J56=0,E57=0,K56=0),"",IF(SUM(J56)&gt;D57,"Däravrad 133 &gt; rad 089",IF(AND(D57&gt;10,J56=""),"Rad 133,kommun: skriv belopp eller 0",IF(AND(E57=0,K56=0),"",IF(SUM(K56)&gt;E57,"Koncern:Däravrad 133&gt;rad 089",IF(AND(E57&gt;10,K56=""),"Rad 133,koncern:skriv belopp eller 0",""))))))</f>
        <v/>
      </c>
      <c r="M56" s="699"/>
      <c r="N56" s="739"/>
      <c r="O56" s="1270"/>
      <c r="P56" s="1334"/>
      <c r="Q56" s="1323"/>
      <c r="R56" s="1334"/>
      <c r="S56" s="1260"/>
      <c r="T56" s="1260"/>
    </row>
    <row r="57" spans="1:20" ht="14.45" customHeight="1" thickBot="1">
      <c r="A57" s="589" t="s">
        <v>326</v>
      </c>
      <c r="B57" s="723">
        <v>23</v>
      </c>
      <c r="C57" s="573" t="s">
        <v>669</v>
      </c>
      <c r="D57" s="347">
        <f>SUM(D50:D56)</f>
        <v>425530.44200000004</v>
      </c>
      <c r="E57" s="341">
        <f>SUM(E50:E52,E54:E56)</f>
        <v>673960.8670000002</v>
      </c>
      <c r="F57" s="231"/>
      <c r="G57" s="1871" t="s">
        <v>345</v>
      </c>
      <c r="H57" s="1876" t="s">
        <v>1038</v>
      </c>
      <c r="I57" s="1872" t="s">
        <v>1041</v>
      </c>
      <c r="J57" s="1827">
        <v>176336.46599999999</v>
      </c>
      <c r="K57" s="1893"/>
      <c r="L57" s="1245" t="str">
        <f>IF(AND(D57=0,J57=0),"",IF(SUM(J57)&gt;D57,"Däravrad 088 &gt; rad 089",IF(AND(D57&gt;10,J57=""),"Rad 088,kommun: skriv belopp eller 0","")))</f>
        <v/>
      </c>
      <c r="M57" s="623">
        <f>D57*1000/invanare</f>
        <v>40711.554729540592</v>
      </c>
      <c r="N57" s="624">
        <f>E57*1000/invanare</f>
        <v>64479.510780662626</v>
      </c>
      <c r="O57" s="1270"/>
      <c r="P57" s="1334"/>
      <c r="Q57" s="1520"/>
      <c r="R57" s="1520"/>
    </row>
    <row r="58" spans="1:20" ht="18" customHeight="1">
      <c r="A58" s="585" t="s">
        <v>327</v>
      </c>
      <c r="B58" s="724" t="s">
        <v>670</v>
      </c>
      <c r="C58" s="556" t="s">
        <v>671</v>
      </c>
      <c r="D58" s="186">
        <v>87759.332999999999</v>
      </c>
      <c r="E58" s="720"/>
      <c r="F58" s="231"/>
      <c r="G58" s="1274" t="s">
        <v>329</v>
      </c>
      <c r="H58" s="2064" t="s">
        <v>741</v>
      </c>
      <c r="I58" s="2065" t="s">
        <v>2</v>
      </c>
      <c r="J58" s="2066">
        <v>24255.474999999999</v>
      </c>
      <c r="K58" s="1877" t="s">
        <v>1043</v>
      </c>
      <c r="L58" s="142" t="str">
        <f>IF(AND(D58=0,J58=0),"",IF(SUM(J58)&gt;D58,"Däravrad 091 &gt; rad 090",IF(AND(D58&gt;10,J58=""),"Rad 091: skriv belopp eller 0","")))</f>
        <v/>
      </c>
      <c r="M58" s="738"/>
      <c r="N58" s="739"/>
      <c r="O58" s="1270"/>
      <c r="P58" s="1334"/>
      <c r="Q58" s="1323"/>
      <c r="R58" s="1334"/>
      <c r="S58" s="300"/>
      <c r="T58" s="300"/>
    </row>
    <row r="59" spans="1:20" ht="14.45" customHeight="1">
      <c r="A59" s="585" t="s">
        <v>328</v>
      </c>
      <c r="B59" s="670" t="s">
        <v>672</v>
      </c>
      <c r="C59" s="561" t="s">
        <v>673</v>
      </c>
      <c r="D59" s="186">
        <v>34216.631999999998</v>
      </c>
      <c r="E59" s="720"/>
      <c r="F59" s="1244"/>
      <c r="G59" s="1405" t="s">
        <v>996</v>
      </c>
      <c r="H59" s="2170" t="s">
        <v>997</v>
      </c>
      <c r="I59" s="2171" t="s">
        <v>1046</v>
      </c>
      <c r="J59" s="2172">
        <v>45953.273999999998</v>
      </c>
      <c r="K59" s="2018" t="s">
        <v>1042</v>
      </c>
      <c r="L59" s="1675" t="str">
        <f>IF(AND(D58=0,J59=0),"",IF(SUM(J59)&gt;D58,"Däravrad 134 &gt; rad 090",IF(J59="","skriv belopp eller 0","")))</f>
        <v/>
      </c>
      <c r="M59" s="738"/>
      <c r="N59" s="739"/>
      <c r="O59" s="1270"/>
      <c r="P59" s="1334"/>
      <c r="Q59" s="1323"/>
      <c r="R59" s="1334"/>
      <c r="S59" s="300"/>
      <c r="T59" s="300"/>
    </row>
    <row r="60" spans="1:20" ht="14.45" customHeight="1" thickBot="1">
      <c r="A60" s="585" t="s">
        <v>346</v>
      </c>
      <c r="B60" s="670">
        <v>271</v>
      </c>
      <c r="C60" s="561" t="s">
        <v>12</v>
      </c>
      <c r="D60" s="186">
        <v>6326.0450000000001</v>
      </c>
      <c r="E60" s="720"/>
      <c r="F60" s="1244"/>
      <c r="G60" s="2174" t="s">
        <v>4</v>
      </c>
      <c r="H60" s="2205" t="s">
        <v>1173</v>
      </c>
      <c r="I60" s="2208" t="s">
        <v>1190</v>
      </c>
      <c r="J60" s="2067">
        <v>41172.351000000002</v>
      </c>
      <c r="K60" s="2018"/>
      <c r="L60" s="1675" t="str">
        <f>IF(AND(D58=0,J60=0),"",IF(SUM(J60)&gt;D58,"Däravrad 135 &gt; rad 090",IF(J59="","skriv belopp eller 0","")))</f>
        <v/>
      </c>
      <c r="M60" s="738"/>
      <c r="N60" s="739"/>
      <c r="O60" s="1270"/>
      <c r="P60" s="1334"/>
      <c r="Q60" s="1323"/>
      <c r="R60" s="1334"/>
    </row>
    <row r="61" spans="1:20" ht="14.45" customHeight="1">
      <c r="A61" s="585" t="s">
        <v>331</v>
      </c>
      <c r="B61" s="670">
        <v>281</v>
      </c>
      <c r="C61" s="2201" t="s">
        <v>1170</v>
      </c>
      <c r="D61" s="193">
        <v>3519.44</v>
      </c>
      <c r="E61" s="731"/>
      <c r="F61" s="1244"/>
      <c r="G61" s="711" t="s">
        <v>330</v>
      </c>
      <c r="H61" s="1404" t="s">
        <v>761</v>
      </c>
      <c r="I61" s="2173" t="s">
        <v>3</v>
      </c>
      <c r="J61" s="2067">
        <v>3274.357</v>
      </c>
      <c r="K61" s="2068"/>
      <c r="L61" s="1245" t="str">
        <f>IF(AND(D59=0,J61=0),"",IF(SUM(J61)&gt;D59,"Däravrad 092 &gt; rad 086",IF(J61="","skriv belopp eller 0","")))</f>
        <v/>
      </c>
      <c r="M61" s="738"/>
      <c r="N61" s="700"/>
      <c r="O61" s="1270"/>
      <c r="P61" s="1334"/>
      <c r="Q61" s="1323"/>
      <c r="R61" s="1334"/>
    </row>
    <row r="62" spans="1:20" ht="14.45" customHeight="1">
      <c r="A62" s="585" t="s">
        <v>332</v>
      </c>
      <c r="B62" s="670" t="s">
        <v>674</v>
      </c>
      <c r="C62" s="561" t="s">
        <v>675</v>
      </c>
      <c r="D62" s="192">
        <v>19962.455999999998</v>
      </c>
      <c r="E62" s="732"/>
      <c r="F62" s="231" t="str">
        <f>IF(D62&lt;&gt;0,"","Belopp saknas för kommunen")</f>
        <v/>
      </c>
      <c r="G62" s="4"/>
      <c r="H62" s="11"/>
      <c r="I62" s="172"/>
      <c r="J62" s="1677"/>
      <c r="K62" s="1875"/>
      <c r="L62" s="201"/>
      <c r="M62" s="738"/>
      <c r="N62" s="700"/>
      <c r="O62" s="1270"/>
      <c r="P62" s="1334"/>
      <c r="Q62" s="1323"/>
      <c r="R62" s="1334"/>
    </row>
    <row r="63" spans="1:20" ht="14.45" customHeight="1">
      <c r="A63" s="585" t="s">
        <v>842</v>
      </c>
      <c r="B63" s="670">
        <v>293</v>
      </c>
      <c r="C63" s="561" t="s">
        <v>800</v>
      </c>
      <c r="D63" s="191">
        <v>14367.962</v>
      </c>
      <c r="E63" s="730"/>
      <c r="F63" s="231" t="str">
        <f>IF(D63&lt;&gt;0,"","Belopp saknas för kommunen")</f>
        <v/>
      </c>
      <c r="G63" s="4"/>
      <c r="H63" s="4"/>
      <c r="I63" s="172"/>
      <c r="J63" s="1699" t="s">
        <v>624</v>
      </c>
      <c r="K63" s="172"/>
      <c r="L63" s="201"/>
      <c r="M63" s="738"/>
      <c r="N63" s="700"/>
      <c r="O63" s="1270"/>
      <c r="P63" s="1334"/>
      <c r="Q63" s="1323"/>
      <c r="R63" s="1334"/>
      <c r="S63" s="300"/>
    </row>
    <row r="64" spans="1:20" ht="14.45" customHeight="1">
      <c r="A64" s="585" t="s">
        <v>334</v>
      </c>
      <c r="B64" s="670" t="s">
        <v>677</v>
      </c>
      <c r="C64" s="561" t="s">
        <v>776</v>
      </c>
      <c r="D64" s="191">
        <v>12687.455</v>
      </c>
      <c r="E64" s="730"/>
      <c r="F64" s="231" t="str">
        <f>IF(D64&lt;&gt;0,"","Belopp saknas för kommunen")</f>
        <v/>
      </c>
      <c r="G64" s="1405" t="s">
        <v>333</v>
      </c>
      <c r="H64" s="1406" t="s">
        <v>676</v>
      </c>
      <c r="I64" s="1690" t="s">
        <v>799</v>
      </c>
      <c r="J64" s="1693">
        <v>4001.9609999999998</v>
      </c>
      <c r="K64" s="1461"/>
      <c r="L64" s="1675"/>
      <c r="M64" s="738"/>
      <c r="N64" s="700"/>
      <c r="O64" s="1270"/>
      <c r="P64" s="1334"/>
      <c r="Q64" s="1323"/>
      <c r="R64" s="1334"/>
    </row>
    <row r="65" spans="1:19" ht="14.45" customHeight="1">
      <c r="A65" s="585" t="s">
        <v>449</v>
      </c>
      <c r="B65" s="670" t="s">
        <v>13</v>
      </c>
      <c r="C65" s="561" t="s">
        <v>14</v>
      </c>
      <c r="D65" s="191">
        <v>4616.3609999999999</v>
      </c>
      <c r="E65" s="730"/>
      <c r="F65" s="1244"/>
      <c r="G65" s="4"/>
      <c r="H65" s="4"/>
      <c r="I65" s="4"/>
      <c r="J65" s="142" t="str">
        <f>IF(AND(D63=0,J64=0),"",IF(SUM(J64)&gt;D63,"Däravrad 095 &gt; rad 104",IF(J64="","skriv belopp eller 0","")))</f>
        <v/>
      </c>
      <c r="K65" s="142"/>
      <c r="L65" s="201"/>
      <c r="M65" s="738"/>
      <c r="N65" s="700"/>
      <c r="O65" s="1270"/>
      <c r="P65" s="1334"/>
      <c r="Q65" s="1323"/>
      <c r="R65" s="1334"/>
    </row>
    <row r="66" spans="1:19" ht="14.45" customHeight="1" thickBot="1">
      <c r="A66" s="585" t="s">
        <v>335</v>
      </c>
      <c r="B66" s="668" t="s">
        <v>678</v>
      </c>
      <c r="C66" s="556" t="s">
        <v>680</v>
      </c>
      <c r="D66" s="191">
        <v>33847.498</v>
      </c>
      <c r="E66" s="730"/>
      <c r="F66" s="1244"/>
      <c r="G66" s="4"/>
      <c r="H66" s="184"/>
      <c r="I66" s="4"/>
      <c r="J66" s="182"/>
      <c r="K66" s="1699" t="s">
        <v>736</v>
      </c>
      <c r="L66" s="201"/>
      <c r="M66" s="738"/>
      <c r="N66" s="700"/>
      <c r="O66" s="1270"/>
      <c r="P66" s="1334"/>
      <c r="Q66" s="1334"/>
      <c r="R66" s="1334"/>
    </row>
    <row r="67" spans="1:19" ht="14.45" customHeight="1" thickBot="1">
      <c r="A67" s="587" t="s">
        <v>336</v>
      </c>
      <c r="B67" s="725" t="s">
        <v>681</v>
      </c>
      <c r="C67" s="726" t="s">
        <v>682</v>
      </c>
      <c r="D67" s="351">
        <f>SUM(D58:D66)</f>
        <v>217303.18199999997</v>
      </c>
      <c r="E67" s="189">
        <v>284637.33500000002</v>
      </c>
      <c r="F67" s="231" t="str">
        <f>IF(E67="","Skriv belopp eller 0 för koncernen","")</f>
        <v/>
      </c>
      <c r="G67" s="1416" t="s">
        <v>327</v>
      </c>
      <c r="H67" s="1417">
        <v>24</v>
      </c>
      <c r="I67" s="2025" t="s">
        <v>1044</v>
      </c>
      <c r="J67" s="2026"/>
      <c r="K67" s="1884">
        <v>93750.226999999999</v>
      </c>
      <c r="L67" s="1675" t="str">
        <f>IF(AND(E67=0,K67=0),"",IF(SUM(K67)&gt;E67,"Därav-rad 090&gt;rad 098 (Excel K67&gt;E67)",IF(AND(E67&gt;100,K67=""),"Rad 090: skriv belopp eller 0","")))</f>
        <v/>
      </c>
      <c r="M67" s="742">
        <f>D67*1000/invanare</f>
        <v>20789.935369409639</v>
      </c>
      <c r="N67" s="743">
        <f>E67*1000/invanare</f>
        <v>27231.961096506177</v>
      </c>
      <c r="O67" s="1270"/>
      <c r="P67" s="1334"/>
      <c r="Q67" s="1520"/>
      <c r="R67" s="1520"/>
    </row>
    <row r="68" spans="1:19" ht="14.25" customHeight="1" thickBot="1">
      <c r="A68" s="578" t="s">
        <v>337</v>
      </c>
      <c r="B68" s="673" t="s">
        <v>683</v>
      </c>
      <c r="C68" s="539" t="s">
        <v>684</v>
      </c>
      <c r="D68" s="340">
        <f>SUM(D57,D67)</f>
        <v>642833.62400000007</v>
      </c>
      <c r="E68" s="352">
        <f>SUM(E57,E67)</f>
        <v>958598.20200000028</v>
      </c>
      <c r="F68" s="1244"/>
      <c r="G68" s="1411" t="s">
        <v>996</v>
      </c>
      <c r="H68" s="1913" t="s">
        <v>997</v>
      </c>
      <c r="I68" s="1874" t="s">
        <v>1045</v>
      </c>
      <c r="J68" s="1873"/>
      <c r="K68" s="1885">
        <v>70561.611000000004</v>
      </c>
      <c r="L68" s="1675" t="str">
        <f>IF(AND(K67=0,K68=0),"",IF(SUM(K68)&gt;K67,"Varav-rad 134&gt;rad 090",IF(AND(K67&gt;100,K68=""),"Rad 134, skriv belopp eller 0","")))</f>
        <v/>
      </c>
      <c r="M68" s="1270"/>
      <c r="N68" s="1270"/>
      <c r="O68" s="1270"/>
      <c r="P68" s="1334"/>
      <c r="Q68" s="1520"/>
      <c r="R68" s="1520"/>
    </row>
    <row r="69" spans="1:19" ht="14.45" customHeight="1" thickBot="1">
      <c r="A69" s="727">
        <v>100</v>
      </c>
      <c r="B69" s="728" t="s">
        <v>685</v>
      </c>
      <c r="C69" s="729" t="s">
        <v>686</v>
      </c>
      <c r="D69" s="353">
        <f>SUM(D43,D49,D57,D67)</f>
        <v>1299133.1710000001</v>
      </c>
      <c r="E69" s="349">
        <f>SUM(E43,E49,E57,E67)</f>
        <v>1842389.7040000004</v>
      </c>
      <c r="F69" s="1244"/>
      <c r="G69" s="4"/>
      <c r="H69" s="185"/>
      <c r="I69" s="4"/>
      <c r="J69" s="1675"/>
      <c r="K69" s="1675"/>
      <c r="L69" s="1675"/>
      <c r="M69" s="67"/>
      <c r="N69" s="67"/>
      <c r="O69" s="219"/>
      <c r="P69" s="1334"/>
      <c r="Q69" s="1520"/>
      <c r="R69" s="1520"/>
    </row>
    <row r="70" spans="1:19">
      <c r="A70" s="1340" t="s">
        <v>826</v>
      </c>
      <c r="B70" s="145"/>
      <c r="C70" s="147"/>
      <c r="D70" s="12"/>
      <c r="E70" s="12"/>
      <c r="F70" s="1244"/>
      <c r="G70" s="745" t="s">
        <v>534</v>
      </c>
      <c r="H70" s="746"/>
      <c r="I70" s="746"/>
      <c r="J70" s="747"/>
      <c r="L70" s="201"/>
      <c r="M70" s="627">
        <f>J57*1000/invanare</f>
        <v>16870.547857003312</v>
      </c>
      <c r="N70" s="744"/>
      <c r="O70" s="1305"/>
      <c r="P70" s="1523"/>
      <c r="Q70" s="1524"/>
      <c r="R70" s="1524"/>
    </row>
    <row r="71" spans="1:19">
      <c r="A71" s="1340"/>
      <c r="B71" s="145"/>
      <c r="C71" s="147"/>
      <c r="D71" s="12"/>
      <c r="E71" s="12"/>
      <c r="F71" s="1244"/>
      <c r="G71" s="748" t="s">
        <v>527</v>
      </c>
      <c r="H71" s="749"/>
      <c r="I71" s="749"/>
      <c r="J71" s="750"/>
      <c r="L71" s="201"/>
      <c r="M71" s="1841">
        <f>SUM(D57-J57)*1000/invanare</f>
        <v>23841.006872537277</v>
      </c>
      <c r="N71" s="696"/>
      <c r="O71" s="1305"/>
      <c r="Q71" s="2493"/>
      <c r="R71" s="2493"/>
      <c r="S71" s="2493"/>
    </row>
    <row r="72" spans="1:19" ht="15" customHeight="1">
      <c r="A72" s="171"/>
      <c r="B72" s="10"/>
      <c r="C72" s="8"/>
      <c r="D72" s="12"/>
      <c r="E72" s="12"/>
      <c r="F72" s="1244"/>
      <c r="G72" s="751" t="s">
        <v>525</v>
      </c>
      <c r="H72" s="752"/>
      <c r="I72" s="752"/>
      <c r="J72" s="750"/>
      <c r="M72" s="623">
        <f>IF(D33=0,"",D43*100/D33)</f>
        <v>43.980081788329478</v>
      </c>
      <c r="N72" s="624">
        <f>IF(E33=0,"",E43*100/E33)</f>
        <v>41.018951162995805</v>
      </c>
      <c r="O72" s="1270"/>
      <c r="Q72" s="2493"/>
      <c r="R72" s="2493"/>
      <c r="S72" s="2493"/>
    </row>
    <row r="73" spans="1:19" ht="18" customHeight="1" thickBot="1">
      <c r="A73" s="2044" t="s">
        <v>754</v>
      </c>
      <c r="D73" s="12"/>
      <c r="E73" s="12"/>
      <c r="F73" s="1244"/>
      <c r="G73" s="2487" t="s">
        <v>526</v>
      </c>
      <c r="H73" s="2488"/>
      <c r="I73" s="2488"/>
      <c r="J73" s="2489"/>
      <c r="K73" s="285"/>
      <c r="L73" s="171"/>
      <c r="M73" s="626">
        <f>IF(D33=0,"",(D43-E80)*100/D33)</f>
        <v>30.679095589228041</v>
      </c>
      <c r="N73" s="743">
        <f>IF(E33=0,"",(E43-E80)*100/E33)</f>
        <v>31.639964258597885</v>
      </c>
      <c r="O73" s="1270"/>
      <c r="Q73" s="145"/>
      <c r="R73" s="145"/>
    </row>
    <row r="74" spans="1:19" ht="18">
      <c r="A74" s="2020" t="s">
        <v>631</v>
      </c>
      <c r="B74" s="2038" t="s">
        <v>623</v>
      </c>
      <c r="C74" s="2039"/>
      <c r="D74" s="676" t="s">
        <v>624</v>
      </c>
      <c r="E74" s="677" t="s">
        <v>624</v>
      </c>
      <c r="F74" s="1244"/>
      <c r="G74" s="4"/>
      <c r="H74" s="4"/>
      <c r="I74" s="4"/>
      <c r="J74" s="4"/>
      <c r="K74" s="4"/>
      <c r="L74" s="171"/>
      <c r="M74" s="753" t="str">
        <f>"Föränd. %  "&amp;År-1&amp;" - "&amp;År&amp;" "</f>
        <v xml:space="preserve">Föränd. %  2020 - 2021 </v>
      </c>
      <c r="N74" s="753" t="s">
        <v>461</v>
      </c>
    </row>
    <row r="75" spans="1:19">
      <c r="A75" s="2021" t="s">
        <v>625</v>
      </c>
      <c r="B75" s="2040"/>
      <c r="C75" s="717"/>
      <c r="D75" s="1506">
        <f>År-1</f>
        <v>2020</v>
      </c>
      <c r="E75" s="1507"/>
      <c r="F75" s="1244"/>
      <c r="G75" s="4"/>
      <c r="H75" s="4"/>
      <c r="I75" s="4"/>
      <c r="J75" s="4"/>
      <c r="K75" s="4"/>
      <c r="L75" s="4"/>
      <c r="M75" s="754"/>
      <c r="N75" s="755" t="s">
        <v>624</v>
      </c>
      <c r="O75" s="1330"/>
      <c r="Q75" s="1260"/>
      <c r="R75" s="1260"/>
    </row>
    <row r="76" spans="1:19" ht="17.25" customHeight="1">
      <c r="A76" s="585" t="s">
        <v>340</v>
      </c>
      <c r="B76" s="760" t="s">
        <v>687</v>
      </c>
      <c r="C76" s="2041"/>
      <c r="D76" s="761">
        <v>149995.049</v>
      </c>
      <c r="E76" s="99">
        <v>150257.51199999999</v>
      </c>
      <c r="F76" s="1880"/>
      <c r="G76" s="4"/>
      <c r="H76" s="4"/>
      <c r="I76" s="4"/>
      <c r="J76" s="4"/>
      <c r="K76" s="4"/>
      <c r="L76" s="4"/>
      <c r="M76" s="756">
        <f t="shared" ref="M76:M81" si="0">IF(AND(D76=0,E76=0),"",IF(E76=0,1,IF(D76=0,-1,E76/D76-1)))</f>
        <v>1.7498110887645968E-3</v>
      </c>
      <c r="N76" s="757">
        <f t="shared" ref="N76:N81" si="1">E76*1000/invanare</f>
        <v>14375.509527735741</v>
      </c>
      <c r="O76" s="1330"/>
      <c r="Q76" s="1260"/>
      <c r="R76" s="1260"/>
    </row>
    <row r="77" spans="1:19" ht="15.75" customHeight="1">
      <c r="A77" s="585" t="s">
        <v>341</v>
      </c>
      <c r="B77" s="2200" t="s">
        <v>1204</v>
      </c>
      <c r="C77" s="2203"/>
      <c r="D77" s="763">
        <v>6334.9889999999996</v>
      </c>
      <c r="E77" s="99">
        <v>5911.6170000000002</v>
      </c>
      <c r="F77" s="1880"/>
      <c r="G77" s="4"/>
      <c r="H77" s="4"/>
      <c r="I77" s="4"/>
      <c r="J77" s="4"/>
      <c r="K77" s="4"/>
      <c r="L77" s="4"/>
      <c r="M77" s="758">
        <f t="shared" si="0"/>
        <v>-6.6830739564030739E-2</v>
      </c>
      <c r="N77" s="757">
        <f t="shared" si="1"/>
        <v>565.5790873725141</v>
      </c>
      <c r="O77" s="1270"/>
      <c r="Q77" s="1260"/>
      <c r="R77" s="1260"/>
    </row>
    <row r="78" spans="1:19" ht="18.75" customHeight="1">
      <c r="A78" s="585" t="s">
        <v>215</v>
      </c>
      <c r="B78" s="762" t="s">
        <v>688</v>
      </c>
      <c r="C78" s="568"/>
      <c r="D78" s="763">
        <v>126771.577</v>
      </c>
      <c r="E78" s="99">
        <v>132099.93599999999</v>
      </c>
      <c r="F78" s="1880"/>
      <c r="G78" s="4"/>
      <c r="H78" s="4"/>
      <c r="I78" s="4"/>
      <c r="J78" s="4"/>
      <c r="K78" s="4"/>
      <c r="L78" s="4"/>
      <c r="M78" s="758">
        <f t="shared" si="0"/>
        <v>4.2031180222677156E-2</v>
      </c>
      <c r="N78" s="757">
        <f t="shared" si="1"/>
        <v>12638.329114495664</v>
      </c>
      <c r="O78" s="1270"/>
      <c r="Q78" s="1260"/>
      <c r="R78" s="1260"/>
    </row>
    <row r="79" spans="1:19" ht="18">
      <c r="A79" s="585" t="s">
        <v>342</v>
      </c>
      <c r="B79" s="2042" t="s">
        <v>982</v>
      </c>
      <c r="C79" s="2043" t="s">
        <v>979</v>
      </c>
      <c r="D79" s="763">
        <v>21395.493999999999</v>
      </c>
      <c r="E79" s="99">
        <v>22352.445</v>
      </c>
      <c r="F79" s="1880"/>
      <c r="G79" s="4"/>
      <c r="H79" s="4"/>
      <c r="I79" s="4"/>
      <c r="J79" s="4"/>
      <c r="K79" s="4"/>
      <c r="L79" s="4"/>
      <c r="M79" s="758">
        <f t="shared" si="0"/>
        <v>4.4726754147391912E-2</v>
      </c>
      <c r="N79" s="757">
        <f t="shared" si="1"/>
        <v>2138.5139537362306</v>
      </c>
      <c r="O79" s="1270"/>
      <c r="Q79" s="1260"/>
      <c r="R79" s="1260"/>
    </row>
    <row r="80" spans="1:19" ht="18.75" customHeight="1">
      <c r="A80" s="585" t="s">
        <v>343</v>
      </c>
      <c r="B80" s="2022" t="s">
        <v>980</v>
      </c>
      <c r="C80" s="2023" t="s">
        <v>981</v>
      </c>
      <c r="D80" s="763">
        <v>178279.19399999999</v>
      </c>
      <c r="E80" s="187">
        <v>172797.40700000001</v>
      </c>
      <c r="F80" s="231"/>
      <c r="G80" s="4"/>
      <c r="H80" s="4"/>
      <c r="I80" s="4"/>
      <c r="J80" s="4"/>
      <c r="K80" s="201"/>
      <c r="L80" s="4"/>
      <c r="M80" s="758">
        <f t="shared" si="0"/>
        <v>-3.0748327255731178E-2</v>
      </c>
      <c r="N80" s="757">
        <f t="shared" si="1"/>
        <v>16531.957288741283</v>
      </c>
      <c r="O80" s="1270"/>
      <c r="Q80" s="1260"/>
      <c r="R80" s="1260"/>
    </row>
    <row r="81" spans="1:18" ht="15" customHeight="1" thickBot="1">
      <c r="A81" s="589" t="s">
        <v>344</v>
      </c>
      <c r="B81" s="764" t="s">
        <v>689</v>
      </c>
      <c r="C81" s="765"/>
      <c r="D81" s="766">
        <f>SUM(D76:D80)</f>
        <v>482776.30299999996</v>
      </c>
      <c r="E81" s="354">
        <f>SUM(E76:E80)</f>
        <v>483418.91699999996</v>
      </c>
      <c r="F81" s="231"/>
      <c r="G81" s="1409" t="s">
        <v>922</v>
      </c>
      <c r="H81" s="1410"/>
      <c r="I81" s="760" t="s">
        <v>917</v>
      </c>
      <c r="J81" s="289">
        <v>296048.94900000002</v>
      </c>
      <c r="K81" s="142"/>
      <c r="L81" s="4"/>
      <c r="M81" s="759">
        <f t="shared" si="0"/>
        <v>1.3310802456680815E-3</v>
      </c>
      <c r="N81" s="639">
        <f t="shared" si="1"/>
        <v>46249.888972081426</v>
      </c>
      <c r="O81" s="1270"/>
      <c r="Q81" s="1260"/>
      <c r="R81" s="1260"/>
    </row>
    <row r="82" spans="1:18">
      <c r="A82" s="13"/>
      <c r="B82" s="1"/>
      <c r="C82" s="1"/>
      <c r="D82" s="1"/>
      <c r="E82" s="1"/>
      <c r="F82" s="1244"/>
      <c r="G82" s="1509" t="s">
        <v>923</v>
      </c>
      <c r="H82" s="1404"/>
      <c r="I82" s="1476" t="s">
        <v>920</v>
      </c>
      <c r="J82" s="288">
        <v>219826.58199999999</v>
      </c>
      <c r="K82" s="142"/>
      <c r="L82" s="4"/>
      <c r="M82" s="4"/>
      <c r="N82" s="4"/>
      <c r="O82" s="1270"/>
      <c r="Q82" s="143"/>
      <c r="R82" s="143"/>
    </row>
    <row r="83" spans="1:18" ht="16.5" thickBot="1">
      <c r="A83" s="74" t="s">
        <v>192</v>
      </c>
      <c r="B83" s="4"/>
      <c r="C83" s="4"/>
      <c r="D83" s="4"/>
      <c r="E83" s="4"/>
      <c r="F83" s="1244"/>
      <c r="G83" s="4"/>
      <c r="H83" s="4"/>
      <c r="I83" s="4"/>
      <c r="J83" s="142"/>
      <c r="K83" s="1689"/>
      <c r="L83" s="327"/>
      <c r="M83" s="4"/>
      <c r="N83" s="4"/>
    </row>
    <row r="84" spans="1:18">
      <c r="A84" s="609" t="s">
        <v>338</v>
      </c>
      <c r="B84" s="767" t="s">
        <v>1050</v>
      </c>
      <c r="C84" s="767"/>
      <c r="D84" s="768"/>
      <c r="E84" s="194">
        <v>16120.118</v>
      </c>
      <c r="F84" s="231" t="str">
        <f>IF(E84="","Skriv belopp eller 0 på rad 107",IF(E84&lt;0,"Inga minusbelopp ska anges på rad 107",""))</f>
        <v/>
      </c>
      <c r="G84" s="4"/>
      <c r="H84" s="4"/>
      <c r="I84" s="4"/>
      <c r="J84" s="142"/>
      <c r="K84" s="142"/>
      <c r="L84" s="4"/>
      <c r="M84" s="4"/>
      <c r="N84" s="4"/>
      <c r="Q84" s="170"/>
      <c r="R84" s="170"/>
    </row>
    <row r="85" spans="1:18" ht="13.5" thickBot="1">
      <c r="A85" s="1932" t="s">
        <v>339</v>
      </c>
      <c r="B85" s="2024" t="str">
        <f>"Ackumulerat  ej återställt negativt resultat inkl. "&amp;År&amp;" års resultat"</f>
        <v>Ackumulerat  ej återställt negativt resultat inkl. 2021 års resultat</v>
      </c>
      <c r="C85" s="1933"/>
      <c r="D85" s="1934"/>
      <c r="E85" s="195">
        <v>173.24199999999999</v>
      </c>
      <c r="F85" s="231" t="str">
        <f>IF(E85="","Skriv belopp eller 0 på rad 108",IF(E85&lt;0,"Inga minustecken ska anges på rad 108",""))</f>
        <v/>
      </c>
      <c r="G85" s="4"/>
      <c r="H85" s="4"/>
      <c r="I85" s="4"/>
      <c r="J85" s="4"/>
      <c r="K85" s="142"/>
      <c r="L85" s="4"/>
      <c r="M85" s="4"/>
      <c r="N85" s="4"/>
      <c r="Q85" s="1260"/>
      <c r="R85" s="1260"/>
    </row>
    <row r="86" spans="1:18">
      <c r="A86" s="1936"/>
      <c r="B86" s="1937"/>
      <c r="C86" s="1937"/>
      <c r="D86" s="1938"/>
      <c r="E86" s="1935"/>
      <c r="F86" s="231"/>
      <c r="G86" s="4"/>
      <c r="H86" s="4"/>
      <c r="I86" s="4"/>
      <c r="J86" s="4"/>
      <c r="K86" s="4"/>
      <c r="L86" s="4"/>
      <c r="M86" s="4"/>
      <c r="N86" s="4"/>
      <c r="Q86" s="1260"/>
      <c r="R86" s="1260"/>
    </row>
    <row r="87" spans="1:18">
      <c r="A87" s="2197"/>
      <c r="B87" s="2197"/>
      <c r="C87" s="2197"/>
      <c r="D87" s="2197"/>
      <c r="E87" s="2197"/>
      <c r="F87" s="201"/>
      <c r="G87" s="4"/>
      <c r="H87" s="4"/>
      <c r="I87" s="4"/>
      <c r="J87" s="4"/>
      <c r="K87" s="4"/>
      <c r="L87" s="4"/>
      <c r="M87" s="4"/>
      <c r="N87" s="4"/>
      <c r="Q87" s="170"/>
      <c r="R87" s="170"/>
    </row>
    <row r="88" spans="1:18">
      <c r="A88" s="2197"/>
      <c r="B88" s="2197"/>
      <c r="C88" s="2197"/>
      <c r="D88" s="2197"/>
      <c r="E88" s="2197"/>
      <c r="F88" s="201"/>
      <c r="G88" s="4"/>
      <c r="H88" s="4"/>
      <c r="I88" s="4"/>
      <c r="J88" s="4"/>
      <c r="K88" s="4"/>
      <c r="L88" s="4"/>
      <c r="M88" s="4"/>
      <c r="N88" s="4"/>
    </row>
    <row r="89" spans="1:18">
      <c r="A89" s="2197"/>
      <c r="B89" s="2197"/>
      <c r="C89" s="2197"/>
      <c r="D89" s="2197"/>
      <c r="E89" s="2197"/>
      <c r="F89" s="201"/>
      <c r="G89" s="4"/>
      <c r="H89" s="4"/>
      <c r="I89" s="4"/>
      <c r="J89" s="4"/>
      <c r="K89" s="4"/>
      <c r="L89" s="4"/>
      <c r="M89" s="4"/>
      <c r="N89" s="4"/>
      <c r="P89" s="172"/>
      <c r="Q89" s="170"/>
      <c r="R89" s="170"/>
    </row>
    <row r="90" spans="1:18">
      <c r="A90" s="2197"/>
      <c r="B90" s="2197"/>
      <c r="C90" s="2197"/>
      <c r="D90" s="2197"/>
      <c r="E90" s="2197"/>
      <c r="F90" s="201"/>
      <c r="G90" s="4"/>
      <c r="H90" s="4"/>
      <c r="I90" s="4"/>
      <c r="J90" s="4"/>
      <c r="K90" s="4"/>
      <c r="L90" s="4"/>
      <c r="M90" s="4"/>
      <c r="N90" s="4"/>
      <c r="P90" s="172"/>
      <c r="Q90" s="170"/>
      <c r="R90" s="170"/>
    </row>
    <row r="91" spans="1:18">
      <c r="A91" s="2197"/>
      <c r="B91" s="2197"/>
      <c r="C91" s="2197"/>
      <c r="D91" s="2197"/>
      <c r="E91" s="2197"/>
      <c r="K91" s="4"/>
      <c r="L91" s="4"/>
      <c r="P91" s="172"/>
      <c r="Q91" s="170"/>
      <c r="R91" s="170"/>
    </row>
    <row r="92" spans="1:18">
      <c r="A92" s="2197"/>
      <c r="B92" s="2197"/>
      <c r="C92" s="2197"/>
      <c r="D92" s="2197"/>
      <c r="E92" s="2197"/>
      <c r="L92" s="4"/>
      <c r="Q92" s="170"/>
      <c r="R92" s="170"/>
    </row>
    <row r="93" spans="1:18"/>
    <row r="114"/>
    <row r="115"/>
  </sheetData>
  <sheetProtection algorithmName="SHA-512" hashValue="RQ3yBiQu3RFgC9Hd1LjM9D8yYWuYI14DkSbmOrsNTKyhigvW/ZFmH+vHEFcwE7mlecxs6VBPbXgiqh23xVvqMQ==" saltValue="JNDoZiHdNAwEakXigY3yFg==" spinCount="100000" sheet="1" objects="1" scenarios="1"/>
  <customSheetViews>
    <customSheetView guid="{97D6DB71-3F4C-4C5F-8C5B-51E3EBF78932}" showPageBreaks="1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1"/>
      <headerFooter>
        <oddHeader>&amp;L&amp;8Statistiska Centralbyrån
Offentlig ekonomi&amp;R&amp;P</oddHeader>
      </headerFooter>
    </customSheetView>
    <customSheetView guid="{99FBDEB7-DD08-4F57-81F4-3C180403E153}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hiddenRows="1" showRuler="0">
      <selection activeCell="I75" sqref="I75"/>
      <pageMargins left="0.11811023622047245" right="0.11811023622047245" top="0.74803149606299213" bottom="0.74803149606299213" header="0.31496062992125984" footer="0.31496062992125984"/>
      <pageSetup paperSize="9" scale="80" orientation="landscape" r:id="rId3"/>
      <headerFooter alignWithMargins="0">
        <oddHeader>&amp;L&amp;8Statistiska Centralbyrån
Offentlig ekonomi&amp;R&amp;P</oddHeader>
      </headerFooter>
    </customSheetView>
  </customSheetViews>
  <mergeCells count="7">
    <mergeCell ref="B5:B6"/>
    <mergeCell ref="M4:N4"/>
    <mergeCell ref="M37:N37"/>
    <mergeCell ref="G73:J73"/>
    <mergeCell ref="T5:T6"/>
    <mergeCell ref="S5:S6"/>
    <mergeCell ref="Q71:S72"/>
  </mergeCells>
  <phoneticPr fontId="86" type="noConversion"/>
  <conditionalFormatting sqref="D19:E19 D9:D11 D13:D15 E9 E12 E17 E84 E30:E31 D31 E86 D46:D48 E50 J13:K13 J15:K15 J22 M24:N24 J27:K27 J49:K49 E67 E76:E80 J56:K56 J64:K64 D58:D66 D21:E21 D23:D25 D27:D29 J58:K60 D51:D56">
    <cfRule type="cellIs" dxfId="165" priority="25" stopIfTrue="1" operator="lessThan">
      <formula>-500</formula>
    </cfRule>
  </conditionalFormatting>
  <conditionalFormatting sqref="D22">
    <cfRule type="cellIs" dxfId="164" priority="23" stopIfTrue="1" operator="lessThan">
      <formula>-500</formula>
    </cfRule>
  </conditionalFormatting>
  <conditionalFormatting sqref="K83 J81:J82">
    <cfRule type="cellIs" dxfId="163" priority="18" stopIfTrue="1" operator="lessThan">
      <formula>0</formula>
    </cfRule>
    <cfRule type="cellIs" dxfId="162" priority="22" stopIfTrue="1" operator="lessThan">
      <formula>-500</formula>
    </cfRule>
  </conditionalFormatting>
  <conditionalFormatting sqref="J20:K20">
    <cfRule type="cellIs" dxfId="161" priority="21" stopIfTrue="1" operator="lessThan">
      <formula>-500</formula>
    </cfRule>
  </conditionalFormatting>
  <conditionalFormatting sqref="D19:E19">
    <cfRule type="cellIs" dxfId="160" priority="20" stopIfTrue="1" operator="lessThan">
      <formula>0</formula>
    </cfRule>
  </conditionalFormatting>
  <conditionalFormatting sqref="E84 E86">
    <cfRule type="cellIs" dxfId="159" priority="19" stopIfTrue="1" operator="lessThan">
      <formula>0</formula>
    </cfRule>
  </conditionalFormatting>
  <conditionalFormatting sqref="J50:K50">
    <cfRule type="cellIs" dxfId="158" priority="17" stopIfTrue="1" operator="lessThan">
      <formula>-500</formula>
    </cfRule>
  </conditionalFormatting>
  <conditionalFormatting sqref="J25">
    <cfRule type="cellIs" dxfId="157" priority="16" stopIfTrue="1" operator="lessThan">
      <formula>-500</formula>
    </cfRule>
  </conditionalFormatting>
  <conditionalFormatting sqref="J57:K57">
    <cfRule type="cellIs" dxfId="156" priority="15" stopIfTrue="1" operator="lessThan">
      <formula>-500</formula>
    </cfRule>
  </conditionalFormatting>
  <conditionalFormatting sqref="J54:K54">
    <cfRule type="cellIs" dxfId="155" priority="14" stopIfTrue="1" operator="lessThan">
      <formula>-500</formula>
    </cfRule>
  </conditionalFormatting>
  <conditionalFormatting sqref="J61:K61">
    <cfRule type="cellIs" dxfId="154" priority="12" stopIfTrue="1" operator="lessThan">
      <formula>-500</formula>
    </cfRule>
  </conditionalFormatting>
  <conditionalFormatting sqref="J26">
    <cfRule type="cellIs" dxfId="153" priority="10" stopIfTrue="1" operator="lessThan">
      <formula>-500</formula>
    </cfRule>
  </conditionalFormatting>
  <conditionalFormatting sqref="M24">
    <cfRule type="cellIs" dxfId="152" priority="8" stopIfTrue="1" operator="lessThan">
      <formula>-500</formula>
    </cfRule>
  </conditionalFormatting>
  <conditionalFormatting sqref="J26">
    <cfRule type="cellIs" dxfId="151" priority="7" stopIfTrue="1" operator="lessThan">
      <formula>-500</formula>
    </cfRule>
  </conditionalFormatting>
  <conditionalFormatting sqref="J25">
    <cfRule type="cellIs" dxfId="150" priority="6" stopIfTrue="1" operator="lessThan">
      <formula>-500</formula>
    </cfRule>
  </conditionalFormatting>
  <conditionalFormatting sqref="J24">
    <cfRule type="cellIs" dxfId="149" priority="5" stopIfTrue="1" operator="lessThan">
      <formula>-500</formula>
    </cfRule>
  </conditionalFormatting>
  <conditionalFormatting sqref="D50">
    <cfRule type="cellIs" dxfId="148" priority="4" stopIfTrue="1" operator="lessThan">
      <formula>-500</formula>
    </cfRule>
  </conditionalFormatting>
  <conditionalFormatting sqref="D45">
    <cfRule type="cellIs" dxfId="147" priority="3" stopIfTrue="1" operator="lessThan">
      <formula>-500</formula>
    </cfRule>
  </conditionalFormatting>
  <conditionalFormatting sqref="E45">
    <cfRule type="cellIs" dxfId="146" priority="1" stopIfTrue="1" operator="lessThan">
      <formula>-500</formula>
    </cfRule>
  </conditionalFormatting>
  <dataValidations disablePrompts="1" count="5">
    <dataValidation type="decimal" operator="lessThan" allowBlank="1" showInputMessage="1" showErrorMessage="1" error="Beloppet ska vara i 1000 tal kronor" sqref="D9:E9 J64:K64 E84:E86 E76:E80 J49:K50 J13 J20 E67 J15 D50:D56 E50:E52 J22 D58:D66 D31 E30:E31 D46:D48 D21:E21 D19:E19 E17 D13:D16 E12 D10:D11 D39:E42 D22:D29 K56:K57 K61 K67:K68 J81:J82 E26 E54:E56 J56:J61 M24 J24 D44:E45" xr:uid="{00000000-0002-0000-0200-000000000000}">
      <formula1>999999999</formula1>
    </dataValidation>
    <dataValidation type="decimal" operator="lessThan" allowBlank="1" showInputMessage="1" showErrorMessage="1" error="Beloppet ska vara i 1000-tal kronor" sqref="J54:K54" xr:uid="{00000000-0002-0000-0200-000001000000}">
      <formula1>999999999</formula1>
    </dataValidation>
    <dataValidation type="decimal" operator="lessThan" allowBlank="1" showInputMessage="1" error="Beloppet ska vara i 1000 tal kronor" sqref="K13" xr:uid="{00000000-0002-0000-0200-000002000000}">
      <formula1>999999</formula1>
    </dataValidation>
    <dataValidation type="decimal" operator="lessThan" allowBlank="1" showInputMessage="1" error="Beloppet ska vara i 1000 tal kronor" sqref="K15" xr:uid="{00000000-0002-0000-0200-000003000000}">
      <formula1>999999999</formula1>
    </dataValidation>
    <dataValidation allowBlank="1" showInputMessage="1" sqref="K20:K21 N24 K23:K24 K26:K31" xr:uid="{00000000-0002-0000-0200-000004000000}"/>
  </dataValidations>
  <pageMargins left="0.11811023622047245" right="0.11811023622047245" top="0.74803149606299213" bottom="0.74803149606299213" header="0.31496062992125984" footer="0.31496062992125984"/>
  <pageSetup paperSize="9" scale="80" orientation="landscape" r:id="rId4"/>
  <headerFooter>
    <oddHeader>&amp;L&amp;8Statistiska Centralbyrån
Offentlig ekonomi&amp;R&amp;P</oddHeader>
  </headerFooter>
  <rowBreaks count="1" manualBreakCount="1">
    <brk id="50" max="16383" man="1"/>
  </rowBreaks>
  <ignoredErrors>
    <ignoredError sqref="A9:A15 B15:B16 B27 A28 A22:B23 A24:A25 A16:A21 B19 B25 A26:A27 B28:B30 A29:A33 H13 G15:H15 G20:H20 G22 A39:A44 B40 B43 A51:A60 B55:B56 B58:B59 A61:A68 B62 B64:B65 G49:H49 G54 G56:G61 H58:H59 G64:H64 G67:G68 H68 A76:A81 A84:A85" numberStoredAsText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Y93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0" defaultRowHeight="0" customHeight="1" zeroHeight="1"/>
  <cols>
    <col min="1" max="1" width="4" style="170" customWidth="1"/>
    <col min="2" max="2" width="14.140625" style="170" customWidth="1"/>
    <col min="3" max="3" width="33.42578125" style="170" customWidth="1"/>
    <col min="4" max="4" width="11.5703125" style="170" customWidth="1"/>
    <col min="5" max="5" width="22.5703125" style="170" customWidth="1"/>
    <col min="6" max="6" width="4" style="170" customWidth="1"/>
    <col min="7" max="7" width="8.42578125" style="170" customWidth="1"/>
    <col min="8" max="8" width="30.5703125" style="170" customWidth="1"/>
    <col min="9" max="9" width="9.140625" style="170" customWidth="1"/>
    <col min="10" max="10" width="29.42578125" style="170" customWidth="1"/>
    <col min="11" max="11" width="1.5703125" style="170" customWidth="1"/>
    <col min="12" max="12" width="3.5703125" style="170" customWidth="1"/>
    <col min="13" max="13" width="9.140625" style="170" customWidth="1"/>
    <col min="14" max="14" width="8.140625" style="170" customWidth="1"/>
    <col min="15" max="15" width="15" style="170" customWidth="1"/>
    <col min="16" max="16" width="1.5703125" style="170" customWidth="1"/>
    <col min="17" max="17" width="3.5703125" style="170" customWidth="1"/>
    <col min="18" max="18" width="13.85546875" style="421" customWidth="1"/>
    <col min="19" max="19" width="4.140625" style="421" customWidth="1"/>
    <col min="20" max="20" width="8.42578125" style="170" customWidth="1"/>
    <col min="21" max="21" width="8" style="170" customWidth="1"/>
    <col min="22" max="22" width="16" style="170" customWidth="1"/>
    <col min="23" max="25" width="9.140625" style="170" customWidth="1"/>
    <col min="26" max="16384" width="0" style="170" hidden="1"/>
  </cols>
  <sheetData>
    <row r="1" spans="1:20" s="201" customFormat="1" ht="20.25">
      <c r="A1" s="93" t="str">
        <f>"Verksamhetens intäkter och kostnader "&amp;År&amp;", miljoner kr"</f>
        <v>Verksamhetens intäkter och kostnader 2021, miljoner kr</v>
      </c>
      <c r="B1" s="169"/>
      <c r="C1" s="169"/>
      <c r="D1" s="169"/>
      <c r="E1" s="169"/>
      <c r="F1" s="169"/>
      <c r="G1" s="169"/>
      <c r="H1" s="516"/>
      <c r="I1" s="512" t="s">
        <v>457</v>
      </c>
      <c r="J1" s="513" t="str">
        <f>Information!A2</f>
        <v>RIKSTOTAL</v>
      </c>
      <c r="K1" s="513"/>
      <c r="L1" s="513"/>
      <c r="M1" s="513"/>
      <c r="N1" s="513"/>
      <c r="O1" s="513"/>
      <c r="P1" s="1319"/>
      <c r="Q1" s="170"/>
      <c r="R1" s="170"/>
      <c r="S1" s="170"/>
      <c r="T1" s="170"/>
    </row>
    <row r="2" spans="1:20" s="201" customFormat="1" ht="12.75" customHeight="1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7"/>
      <c r="Q2" s="170"/>
      <c r="R2" s="170"/>
      <c r="S2" s="170"/>
      <c r="T2" s="170"/>
    </row>
    <row r="3" spans="1:20" s="201" customFormat="1" ht="12.75" customHeigh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Q3" s="170"/>
      <c r="R3" s="170"/>
      <c r="S3" s="170"/>
      <c r="T3" s="170"/>
    </row>
    <row r="4" spans="1:20" s="201" customFormat="1" ht="16.5" customHeight="1" thickBot="1">
      <c r="A4" s="74" t="s">
        <v>362</v>
      </c>
      <c r="B4" s="4"/>
      <c r="C4" s="4"/>
      <c r="D4" s="4"/>
      <c r="E4" s="79"/>
      <c r="H4" s="4"/>
      <c r="I4" s="4"/>
      <c r="J4" s="4"/>
      <c r="K4" s="4"/>
      <c r="L4" s="1262" t="str">
        <f>"Kontroller av förändring mellan "&amp;År-1&amp;" och "&amp;År&amp;""</f>
        <v>Kontroller av förändring mellan 2020 och 2021</v>
      </c>
      <c r="O4" s="2197"/>
      <c r="Q4" s="170"/>
      <c r="R4" s="170"/>
      <c r="S4" s="170"/>
      <c r="T4" s="170"/>
    </row>
    <row r="5" spans="1:20" s="201" customFormat="1" ht="12.75" customHeight="1">
      <c r="A5" s="602" t="s">
        <v>622</v>
      </c>
      <c r="B5" s="2051" t="s">
        <v>1206</v>
      </c>
      <c r="C5" s="601"/>
      <c r="D5" s="783"/>
      <c r="E5" s="4"/>
      <c r="H5" s="4"/>
      <c r="I5" s="4"/>
      <c r="J5" s="4"/>
      <c r="K5" s="4"/>
      <c r="L5" s="602" t="s">
        <v>622</v>
      </c>
      <c r="M5" s="2212" t="s">
        <v>1215</v>
      </c>
      <c r="N5" s="2221" t="s">
        <v>752</v>
      </c>
      <c r="O5" s="2197"/>
      <c r="P5" s="1320"/>
      <c r="Q5" s="89"/>
      <c r="R5" s="428"/>
      <c r="S5" s="89"/>
      <c r="T5" s="1261"/>
    </row>
    <row r="6" spans="1:20" s="201" customFormat="1" ht="20.25" customHeight="1">
      <c r="A6" s="769" t="s">
        <v>625</v>
      </c>
      <c r="B6" s="2494"/>
      <c r="C6" s="771"/>
      <c r="D6" s="784"/>
      <c r="E6" s="4"/>
      <c r="H6" s="67"/>
      <c r="I6" s="67"/>
      <c r="J6" s="4"/>
      <c r="K6" s="4"/>
      <c r="L6" s="769" t="s">
        <v>625</v>
      </c>
      <c r="M6" s="2213">
        <f>År-1</f>
        <v>2020</v>
      </c>
      <c r="N6" s="2222" t="str">
        <f>År-1&amp;-År</f>
        <v>2020-2021</v>
      </c>
      <c r="O6" s="2197"/>
      <c r="P6" s="1320"/>
      <c r="Q6" s="1525"/>
      <c r="R6" s="1323"/>
      <c r="S6" s="261"/>
      <c r="T6" s="2045"/>
    </row>
    <row r="7" spans="1:20" s="201" customFormat="1" ht="15" customHeight="1">
      <c r="A7" s="772"/>
      <c r="B7" s="2495"/>
      <c r="C7" s="773"/>
      <c r="D7" s="690"/>
      <c r="E7" s="4"/>
      <c r="H7" s="67"/>
      <c r="I7" s="67"/>
      <c r="J7" s="4"/>
      <c r="K7" s="4"/>
      <c r="L7" s="772"/>
      <c r="M7" s="2214"/>
      <c r="N7" s="2223" t="s">
        <v>753</v>
      </c>
      <c r="O7" s="2197"/>
      <c r="P7" s="1320"/>
      <c r="Q7" s="87"/>
      <c r="R7" s="1526"/>
      <c r="S7" s="1297"/>
      <c r="T7" s="1527"/>
    </row>
    <row r="8" spans="1:20" s="201" customFormat="1" ht="13.5" thickBot="1">
      <c r="A8" s="550">
        <v>130</v>
      </c>
      <c r="B8" s="1407" t="s">
        <v>762</v>
      </c>
      <c r="C8" s="1341" t="s">
        <v>768</v>
      </c>
      <c r="D8" s="220">
        <v>9907.5990000000002</v>
      </c>
      <c r="E8" s="179"/>
      <c r="F8" s="4"/>
      <c r="G8" s="4"/>
      <c r="H8" s="67"/>
      <c r="I8" s="67"/>
      <c r="J8" s="4"/>
      <c r="K8" s="4"/>
      <c r="L8" s="550">
        <v>130</v>
      </c>
      <c r="M8" s="2215">
        <v>8908.3549999999996</v>
      </c>
      <c r="N8" s="2224">
        <f>IF(ISERROR((D8-M8)/M8),0,((D8-M8)/M8))</f>
        <v>0.11216930622993815</v>
      </c>
      <c r="O8" s="2197"/>
      <c r="P8" s="1321"/>
      <c r="Q8" s="1323"/>
      <c r="R8" s="1323"/>
      <c r="S8" s="1323"/>
      <c r="T8" s="170"/>
    </row>
    <row r="9" spans="1:20" s="201" customFormat="1" ht="12.75">
      <c r="A9" s="775">
        <v>200</v>
      </c>
      <c r="B9" s="776">
        <v>311</v>
      </c>
      <c r="C9" s="777" t="s">
        <v>690</v>
      </c>
      <c r="D9" s="177">
        <v>3883.8380000000002</v>
      </c>
      <c r="E9" s="179"/>
      <c r="F9" s="4"/>
      <c r="G9" s="4"/>
      <c r="H9" s="67"/>
      <c r="I9" s="67"/>
      <c r="J9" s="4"/>
      <c r="K9" s="4"/>
      <c r="L9" s="1224"/>
      <c r="M9" s="2216"/>
      <c r="N9" s="2225"/>
      <c r="O9" s="2197"/>
      <c r="P9" s="1321"/>
      <c r="Q9" s="1282"/>
      <c r="R9" s="1282"/>
      <c r="S9" s="1282"/>
      <c r="T9" s="170"/>
    </row>
    <row r="10" spans="1:20" s="201" customFormat="1" ht="12.75">
      <c r="A10" s="778">
        <v>210</v>
      </c>
      <c r="B10" s="670">
        <v>312</v>
      </c>
      <c r="C10" s="781" t="s">
        <v>1146</v>
      </c>
      <c r="D10" s="177">
        <v>957.577</v>
      </c>
      <c r="E10" s="179"/>
      <c r="F10" s="4"/>
      <c r="G10" s="4"/>
      <c r="H10" s="67"/>
      <c r="I10" s="67"/>
      <c r="J10" s="4"/>
      <c r="K10" s="4"/>
      <c r="L10" s="1225"/>
      <c r="M10" s="2217"/>
      <c r="N10" s="2226"/>
      <c r="O10" s="2197"/>
      <c r="P10" s="1321"/>
      <c r="Q10" s="1282"/>
      <c r="R10" s="1282"/>
      <c r="S10" s="1282"/>
      <c r="T10" s="170"/>
    </row>
    <row r="11" spans="1:20" s="201" customFormat="1" ht="19.5" customHeight="1">
      <c r="A11" s="778">
        <v>280</v>
      </c>
      <c r="B11" s="2236">
        <v>313</v>
      </c>
      <c r="C11" s="777" t="s">
        <v>691</v>
      </c>
      <c r="D11" s="177">
        <v>34969.527000000002</v>
      </c>
      <c r="E11" s="179"/>
      <c r="F11" s="4"/>
      <c r="G11" s="4"/>
      <c r="H11" s="67"/>
      <c r="I11" s="67"/>
      <c r="J11" s="4"/>
      <c r="K11" s="4"/>
      <c r="L11" s="775"/>
      <c r="M11" s="2218"/>
      <c r="N11" s="2227"/>
      <c r="O11" s="2197"/>
      <c r="P11" s="1321"/>
      <c r="Q11" s="1282"/>
      <c r="R11" s="1528"/>
      <c r="S11" s="1528"/>
      <c r="T11" s="170"/>
    </row>
    <row r="12" spans="1:20" s="201" customFormat="1" ht="13.5" thickBot="1">
      <c r="A12" s="779">
        <v>290</v>
      </c>
      <c r="B12" s="551"/>
      <c r="C12" s="780" t="s">
        <v>692</v>
      </c>
      <c r="D12" s="355">
        <f>SUM(D9:D11)</f>
        <v>39810.942000000003</v>
      </c>
      <c r="E12" s="179"/>
      <c r="F12" s="171"/>
      <c r="G12" s="4"/>
      <c r="H12" s="67"/>
      <c r="I12" s="67"/>
      <c r="J12" s="4"/>
      <c r="K12" s="4"/>
      <c r="L12" s="779">
        <v>290</v>
      </c>
      <c r="M12" s="2219">
        <v>39179.775000000001</v>
      </c>
      <c r="N12" s="2228">
        <f>IF(ISERROR((D12-M12)/M12),0,((D12-M12)/M12))</f>
        <v>1.6109510582947482E-2</v>
      </c>
      <c r="O12" s="2197"/>
      <c r="P12" s="1321"/>
      <c r="Q12" s="1282"/>
      <c r="R12" s="1282"/>
      <c r="S12" s="1282"/>
      <c r="T12" s="170"/>
    </row>
    <row r="13" spans="1:20" s="201" customFormat="1" ht="12.75">
      <c r="A13" s="555">
        <v>400</v>
      </c>
      <c r="B13" s="548">
        <v>341</v>
      </c>
      <c r="C13" s="781" t="s">
        <v>693</v>
      </c>
      <c r="D13" s="177">
        <v>13915.916999999999</v>
      </c>
      <c r="E13" s="179"/>
      <c r="F13" s="4"/>
      <c r="G13" s="4"/>
      <c r="H13" s="67"/>
      <c r="I13" s="67"/>
      <c r="J13" s="4"/>
      <c r="K13" s="4"/>
      <c r="L13" s="555">
        <v>400</v>
      </c>
      <c r="M13" s="2218">
        <v>13950.724</v>
      </c>
      <c r="N13" s="2227">
        <f>IF(ISERROR((D13-M13)/M13),0,((D13-M13)/M13))</f>
        <v>-2.4949959586327347E-3</v>
      </c>
      <c r="O13" s="2197"/>
      <c r="P13" s="1321"/>
      <c r="Q13" s="1323"/>
      <c r="R13" s="1323"/>
      <c r="S13" s="1323"/>
      <c r="T13" s="170"/>
    </row>
    <row r="14" spans="1:20" s="201" customFormat="1" ht="12.75">
      <c r="A14" s="553">
        <v>420</v>
      </c>
      <c r="B14" s="670">
        <v>342</v>
      </c>
      <c r="C14" s="781" t="s">
        <v>694</v>
      </c>
      <c r="D14" s="177">
        <v>5663.674</v>
      </c>
      <c r="E14" s="179"/>
      <c r="F14" s="4"/>
      <c r="G14" s="4"/>
      <c r="H14" s="67"/>
      <c r="I14" s="67"/>
      <c r="J14" s="4"/>
      <c r="K14" s="4"/>
      <c r="L14" s="557"/>
      <c r="M14" s="1214"/>
      <c r="N14" s="2229"/>
      <c r="O14" s="2197"/>
      <c r="P14" s="1321"/>
      <c r="Q14" s="1323"/>
      <c r="R14" s="1323"/>
      <c r="S14" s="1323"/>
      <c r="T14" s="170"/>
    </row>
    <row r="15" spans="1:20" s="201" customFormat="1" ht="12.75">
      <c r="A15" s="553">
        <v>480</v>
      </c>
      <c r="B15" s="670" t="s">
        <v>695</v>
      </c>
      <c r="C15" s="781" t="s">
        <v>763</v>
      </c>
      <c r="D15" s="177">
        <v>1696.1590000000001</v>
      </c>
      <c r="E15" s="179"/>
      <c r="G15" s="172"/>
      <c r="H15" s="216"/>
      <c r="I15" s="216"/>
      <c r="J15" s="4"/>
      <c r="K15" s="4"/>
      <c r="L15" s="793"/>
      <c r="M15" s="2217"/>
      <c r="N15" s="2226"/>
      <c r="O15" s="2197"/>
      <c r="P15" s="1321"/>
      <c r="Q15" s="1323"/>
      <c r="R15" s="1323"/>
      <c r="S15" s="1323"/>
      <c r="T15" s="170"/>
    </row>
    <row r="16" spans="1:20" s="201" customFormat="1" ht="13.5" thickBot="1">
      <c r="A16" s="564">
        <v>490</v>
      </c>
      <c r="B16" s="774"/>
      <c r="C16" s="782" t="s">
        <v>696</v>
      </c>
      <c r="D16" s="355">
        <f>SUM(D13:D15)</f>
        <v>21275.75</v>
      </c>
      <c r="E16" s="179"/>
      <c r="F16" s="75" t="s">
        <v>764</v>
      </c>
      <c r="G16" s="45"/>
      <c r="H16" s="299"/>
      <c r="I16" s="216"/>
      <c r="J16" s="4"/>
      <c r="K16" s="4"/>
      <c r="L16" s="550">
        <v>490</v>
      </c>
      <c r="M16" s="1216">
        <v>20937.992999999999</v>
      </c>
      <c r="N16" s="2230">
        <f>IF(ISERROR((D16-M16)/M16),0,((D16-M16)/M16))</f>
        <v>1.6131297780069057E-2</v>
      </c>
      <c r="O16" s="2197"/>
      <c r="P16" s="1321"/>
      <c r="Q16" s="1323"/>
      <c r="R16" s="1323"/>
      <c r="S16" s="1323"/>
      <c r="T16" s="170"/>
    </row>
    <row r="17" spans="1:22" s="201" customFormat="1" ht="12.75">
      <c r="A17" s="775">
        <v>500</v>
      </c>
      <c r="B17" s="776">
        <v>351</v>
      </c>
      <c r="C17" s="781" t="s">
        <v>1165</v>
      </c>
      <c r="D17" s="177">
        <v>38156.519</v>
      </c>
      <c r="E17" s="230"/>
      <c r="F17" s="1334"/>
      <c r="G17" s="1334"/>
      <c r="H17" s="1335"/>
      <c r="I17" s="72"/>
      <c r="J17" s="281"/>
      <c r="K17" s="4"/>
      <c r="L17" s="1224"/>
      <c r="M17" s="2216"/>
      <c r="N17" s="2225"/>
      <c r="O17" s="2197"/>
      <c r="P17" s="1321"/>
      <c r="Q17" s="1282"/>
      <c r="R17" s="1282"/>
      <c r="S17" s="1282"/>
      <c r="T17" s="170"/>
    </row>
    <row r="18" spans="1:22" s="201" customFormat="1" ht="12.75">
      <c r="A18" s="778">
        <v>510</v>
      </c>
      <c r="B18" s="544">
        <v>351</v>
      </c>
      <c r="C18" s="781" t="s">
        <v>1163</v>
      </c>
      <c r="D18" s="177">
        <v>6261.9530000000004</v>
      </c>
      <c r="E18" s="179"/>
      <c r="G18" s="1332"/>
      <c r="H18" s="89"/>
      <c r="I18" s="148"/>
      <c r="J18" s="4"/>
      <c r="K18" s="4"/>
      <c r="L18" s="1225"/>
      <c r="M18" s="2217"/>
      <c r="N18" s="2226"/>
      <c r="O18" s="2197"/>
      <c r="P18" s="1321"/>
      <c r="Q18" s="1282"/>
      <c r="R18" s="1282"/>
      <c r="S18" s="1282"/>
      <c r="T18" s="170"/>
    </row>
    <row r="19" spans="1:22" s="201" customFormat="1" ht="12.75">
      <c r="A19" s="778">
        <v>520</v>
      </c>
      <c r="B19" s="544">
        <v>351</v>
      </c>
      <c r="C19" s="781" t="s">
        <v>1164</v>
      </c>
      <c r="D19" s="177">
        <v>1950.82</v>
      </c>
      <c r="E19" s="179" t="str">
        <f>IF(D19-I19-Motpart!R40&gt;10000, "Vad ingår på rad 520? Kommentera.", "")</f>
        <v/>
      </c>
      <c r="F19" s="1405" t="s">
        <v>1135</v>
      </c>
      <c r="G19" s="1406" t="s">
        <v>380</v>
      </c>
      <c r="H19" s="1281" t="s">
        <v>1127</v>
      </c>
      <c r="I19" s="287">
        <v>943.81799999999998</v>
      </c>
      <c r="J19" s="1245"/>
      <c r="K19" s="4"/>
      <c r="L19" s="1225"/>
      <c r="M19" s="2217"/>
      <c r="N19" s="2226"/>
      <c r="O19" s="2197"/>
      <c r="P19" s="1321"/>
      <c r="Q19" s="1282"/>
      <c r="R19" s="1282"/>
      <c r="S19" s="1282"/>
      <c r="T19" s="170"/>
    </row>
    <row r="20" spans="1:22" s="201" customFormat="1" ht="12.75">
      <c r="A20" s="778">
        <v>525</v>
      </c>
      <c r="B20" s="544">
        <v>354</v>
      </c>
      <c r="C20" s="2239" t="s">
        <v>1197</v>
      </c>
      <c r="D20" s="2210">
        <v>5226.817</v>
      </c>
      <c r="E20" s="179"/>
      <c r="F20" s="1323"/>
      <c r="G20" s="1332"/>
      <c r="H20" s="1333"/>
      <c r="I20" s="148"/>
      <c r="J20" s="4"/>
      <c r="K20" s="4"/>
      <c r="L20" s="775"/>
      <c r="M20" s="2218"/>
      <c r="N20" s="2227"/>
      <c r="O20" s="2197"/>
      <c r="P20" s="1321"/>
      <c r="Q20" s="1282"/>
      <c r="R20" s="1282"/>
      <c r="S20" s="1282"/>
      <c r="T20" s="170"/>
      <c r="V20" s="170"/>
    </row>
    <row r="21" spans="1:22" s="201" customFormat="1" ht="12.75">
      <c r="A21" s="778">
        <v>527</v>
      </c>
      <c r="B21" s="544">
        <v>356</v>
      </c>
      <c r="C21" s="781" t="s">
        <v>1103</v>
      </c>
      <c r="D21" s="221">
        <v>7253.6869999999999</v>
      </c>
      <c r="E21" s="179"/>
      <c r="F21" s="4"/>
      <c r="G21" s="67"/>
      <c r="H21" s="67"/>
      <c r="I21" s="67"/>
      <c r="J21" s="4"/>
      <c r="K21" s="4"/>
      <c r="L21" s="778">
        <v>527</v>
      </c>
      <c r="M21" s="2220">
        <v>7025.1629999999996</v>
      </c>
      <c r="N21" s="2231">
        <f>IF(ISERROR((D21-M21)/M21),0,((D21-M21)/M21))</f>
        <v>3.2529351987989508E-2</v>
      </c>
      <c r="O21" s="2197"/>
      <c r="P21" s="1321"/>
      <c r="Q21" s="1282"/>
      <c r="R21" s="1282"/>
      <c r="S21" s="1282"/>
      <c r="T21" s="170"/>
      <c r="V21" s="170"/>
    </row>
    <row r="22" spans="1:22" s="201" customFormat="1" ht="12.75">
      <c r="A22" s="778">
        <v>550</v>
      </c>
      <c r="B22" s="544">
        <v>358</v>
      </c>
      <c r="C22" s="781" t="s">
        <v>193</v>
      </c>
      <c r="D22" s="221">
        <v>569.87300000000005</v>
      </c>
      <c r="E22" s="231"/>
      <c r="F22" s="4"/>
      <c r="G22" s="4"/>
      <c r="H22" s="67"/>
      <c r="I22" s="67"/>
      <c r="J22" s="4"/>
      <c r="K22" s="4"/>
      <c r="L22" s="1226"/>
      <c r="M22" s="1214"/>
      <c r="N22" s="2229"/>
      <c r="O22" s="2197"/>
      <c r="P22" s="1321"/>
      <c r="Q22" s="1282"/>
      <c r="R22" s="1282"/>
      <c r="S22" s="1282"/>
      <c r="T22" s="170"/>
      <c r="V22" s="170"/>
    </row>
    <row r="23" spans="1:22" s="201" customFormat="1" ht="15" customHeight="1">
      <c r="A23" s="778">
        <v>560</v>
      </c>
      <c r="B23" s="544">
        <v>357</v>
      </c>
      <c r="C23" s="2084" t="s">
        <v>1147</v>
      </c>
      <c r="D23" s="221">
        <v>455.04399999999998</v>
      </c>
      <c r="E23" s="231"/>
      <c r="F23" s="1334"/>
      <c r="G23" s="1332"/>
      <c r="H23" s="1333"/>
      <c r="I23" s="148"/>
      <c r="J23" s="1263"/>
      <c r="K23" s="4"/>
      <c r="L23" s="775"/>
      <c r="M23" s="2218"/>
      <c r="N23" s="2227"/>
      <c r="O23" s="2197"/>
      <c r="P23" s="1321"/>
      <c r="Q23" s="1282"/>
      <c r="R23" s="1529"/>
      <c r="S23" s="1530"/>
      <c r="T23" s="1531"/>
      <c r="V23" s="1323"/>
    </row>
    <row r="24" spans="1:22" s="201" customFormat="1" ht="12.75">
      <c r="A24" s="1226">
        <v>570</v>
      </c>
      <c r="B24" s="2237" t="s">
        <v>1175</v>
      </c>
      <c r="C24" s="2240" t="s">
        <v>1189</v>
      </c>
      <c r="D24" s="101">
        <v>2083.8240000000001</v>
      </c>
      <c r="E24" s="2125"/>
      <c r="F24" s="1405" t="s">
        <v>1140</v>
      </c>
      <c r="G24" s="2244" t="s">
        <v>1174</v>
      </c>
      <c r="H24" s="2248" t="s">
        <v>1188</v>
      </c>
      <c r="I24" s="2169">
        <v>1124.318</v>
      </c>
      <c r="J24" s="1245"/>
      <c r="K24" s="4"/>
      <c r="L24" s="1225"/>
      <c r="M24" s="2217"/>
      <c r="N24" s="2226"/>
      <c r="O24" s="2197"/>
      <c r="P24" s="1321"/>
      <c r="Q24" s="1282"/>
      <c r="R24" s="1529"/>
      <c r="S24" s="1530"/>
      <c r="T24" s="1531"/>
      <c r="V24" s="1323"/>
    </row>
    <row r="25" spans="1:22" s="201" customFormat="1" ht="15.75" customHeight="1" thickBot="1">
      <c r="A25" s="779">
        <v>590</v>
      </c>
      <c r="B25" s="551"/>
      <c r="C25" s="780" t="s">
        <v>697</v>
      </c>
      <c r="D25" s="355">
        <f>SUM(D17:D24)</f>
        <v>61958.537000000004</v>
      </c>
      <c r="E25" s="2125"/>
      <c r="F25" s="4"/>
      <c r="G25" s="45"/>
      <c r="H25" s="67"/>
      <c r="I25" s="67"/>
      <c r="J25" s="4"/>
      <c r="K25" s="4"/>
      <c r="L25" s="779">
        <v>590</v>
      </c>
      <c r="M25" s="2219">
        <v>64966.347999999998</v>
      </c>
      <c r="N25" s="2228">
        <f>IF(ISERROR((D25-M25)/M25),0,((D25-M25)/M25))</f>
        <v>-4.6297984919823329E-2</v>
      </c>
      <c r="O25" s="2197"/>
      <c r="P25" s="1321"/>
      <c r="Q25" s="1282"/>
      <c r="R25" s="1282"/>
      <c r="S25" s="1282"/>
      <c r="T25" s="170"/>
      <c r="V25" s="1323"/>
    </row>
    <row r="26" spans="1:22" s="201" customFormat="1" ht="12.75">
      <c r="A26" s="555">
        <v>310</v>
      </c>
      <c r="B26" s="548" t="s">
        <v>815</v>
      </c>
      <c r="C26" s="781" t="s">
        <v>1099</v>
      </c>
      <c r="D26" s="221">
        <v>14006.239</v>
      </c>
      <c r="E26" s="231"/>
      <c r="F26" s="1409" t="s">
        <v>821</v>
      </c>
      <c r="G26" s="1410" t="s">
        <v>816</v>
      </c>
      <c r="H26" s="760" t="s">
        <v>765</v>
      </c>
      <c r="I26" s="289">
        <v>13684.522999999999</v>
      </c>
      <c r="J26" s="1245"/>
      <c r="K26" s="4"/>
      <c r="L26" s="1227"/>
      <c r="M26" s="2216"/>
      <c r="N26" s="2225"/>
      <c r="O26" s="2197"/>
      <c r="P26" s="1321"/>
      <c r="Q26" s="1323"/>
      <c r="R26" s="1323"/>
      <c r="S26" s="1323"/>
      <c r="T26" s="1332"/>
      <c r="V26" s="1323"/>
    </row>
    <row r="27" spans="1:22" s="201" customFormat="1" ht="12.75">
      <c r="A27" s="555">
        <v>320</v>
      </c>
      <c r="B27" s="724" t="s">
        <v>815</v>
      </c>
      <c r="C27" s="781" t="s">
        <v>1137</v>
      </c>
      <c r="D27" s="221">
        <v>515.98599999999999</v>
      </c>
      <c r="E27" s="231"/>
      <c r="F27" s="2059" t="s">
        <v>822</v>
      </c>
      <c r="G27" s="560">
        <v>361</v>
      </c>
      <c r="H27" s="2060" t="s">
        <v>1102</v>
      </c>
      <c r="I27" s="2016">
        <v>454.87400000000002</v>
      </c>
      <c r="J27" s="1245"/>
      <c r="K27" s="4"/>
      <c r="L27" s="793"/>
      <c r="M27" s="2217"/>
      <c r="N27" s="2226"/>
      <c r="O27" s="2197"/>
      <c r="P27" s="1321"/>
      <c r="Q27" s="1323"/>
      <c r="R27" s="1323"/>
      <c r="S27" s="1323"/>
      <c r="T27" s="1332"/>
      <c r="V27" s="1323"/>
    </row>
    <row r="28" spans="1:22" s="201" customFormat="1" ht="12.75">
      <c r="A28" s="555">
        <v>321</v>
      </c>
      <c r="B28" s="724" t="s">
        <v>815</v>
      </c>
      <c r="C28" s="781" t="s">
        <v>1100</v>
      </c>
      <c r="D28" s="221">
        <v>413.67200000000003</v>
      </c>
      <c r="E28" s="231"/>
      <c r="F28" s="1510" t="s">
        <v>1136</v>
      </c>
      <c r="G28" s="2159">
        <v>361</v>
      </c>
      <c r="H28" s="2157" t="s">
        <v>1101</v>
      </c>
      <c r="I28" s="2163">
        <v>330.09</v>
      </c>
      <c r="J28" s="1245"/>
      <c r="K28" s="4"/>
      <c r="L28" s="793"/>
      <c r="M28" s="2217"/>
      <c r="N28" s="2226"/>
      <c r="O28" s="2197"/>
      <c r="P28" s="1321"/>
      <c r="Q28" s="1323"/>
      <c r="R28" s="1323"/>
      <c r="S28" s="1323"/>
      <c r="T28" s="1332"/>
      <c r="V28" s="170"/>
    </row>
    <row r="29" spans="1:22" s="201" customFormat="1" ht="16.5" customHeight="1">
      <c r="A29" s="553">
        <v>380</v>
      </c>
      <c r="B29" s="1408" t="s">
        <v>803</v>
      </c>
      <c r="C29" s="781" t="s">
        <v>1092</v>
      </c>
      <c r="D29" s="221">
        <v>4479.41</v>
      </c>
      <c r="E29" s="231"/>
      <c r="F29" s="2242" t="s">
        <v>1185</v>
      </c>
      <c r="G29" s="2245">
        <v>365</v>
      </c>
      <c r="H29" s="2249" t="s">
        <v>1177</v>
      </c>
      <c r="I29" s="2164">
        <v>155.60499999999999</v>
      </c>
      <c r="J29" s="1263" t="str">
        <f>IF(SUM(I29)&gt;D29,"Däravrad 329 &gt; rad 380",IF(D29=0,"",IF(I29="","Skriv belopp eller 0","")))</f>
        <v/>
      </c>
      <c r="K29" s="4"/>
      <c r="L29" s="555"/>
      <c r="M29" s="2218"/>
      <c r="N29" s="2227"/>
      <c r="O29" s="2197"/>
      <c r="P29" s="1321"/>
      <c r="Q29" s="1323"/>
      <c r="R29" s="1323"/>
      <c r="S29" s="1323"/>
      <c r="T29" s="170"/>
    </row>
    <row r="30" spans="1:22" s="201" customFormat="1" ht="13.5" thickBot="1">
      <c r="A30" s="557">
        <v>390</v>
      </c>
      <c r="B30" s="545"/>
      <c r="C30" s="782" t="s">
        <v>770</v>
      </c>
      <c r="D30" s="356">
        <f>SUM(D26:D29)</f>
        <v>19415.307000000001</v>
      </c>
      <c r="E30" s="231"/>
      <c r="F30" s="2161"/>
      <c r="G30" s="4"/>
      <c r="H30" s="2162"/>
      <c r="I30" s="2162"/>
      <c r="J30" s="4"/>
      <c r="K30" s="4"/>
      <c r="L30" s="564">
        <v>390</v>
      </c>
      <c r="M30" s="2219">
        <v>18889.934000000001</v>
      </c>
      <c r="N30" s="2228">
        <f>IF(ISERROR((D30-M30)/M30),0,((D30-M30)/M30))</f>
        <v>2.7812325866252343E-2</v>
      </c>
      <c r="O30" s="2197"/>
      <c r="P30" s="1321"/>
      <c r="Q30" s="1323"/>
      <c r="R30" s="1323"/>
      <c r="S30" s="1323"/>
      <c r="T30" s="170"/>
    </row>
    <row r="31" spans="1:22" s="201" customFormat="1" ht="13.5" customHeight="1" thickBot="1">
      <c r="A31" s="541">
        <v>891</v>
      </c>
      <c r="B31" s="542">
        <v>37</v>
      </c>
      <c r="C31" s="2241" t="s">
        <v>1178</v>
      </c>
      <c r="D31" s="222">
        <v>13527.991</v>
      </c>
      <c r="E31" s="231"/>
      <c r="F31" s="2243" t="s">
        <v>231</v>
      </c>
      <c r="G31" s="2246">
        <v>373</v>
      </c>
      <c r="H31" s="2250" t="s">
        <v>1182</v>
      </c>
      <c r="I31" s="2121">
        <v>1726.636</v>
      </c>
      <c r="J31" s="1263" t="str">
        <f>IF(SUM(I31)&gt;D31,"Däravrad 330 &gt; rad 891",IF(D31=0,"",IF(I31="","Skriv belopp eller 0","")))</f>
        <v/>
      </c>
      <c r="K31" s="4"/>
      <c r="L31" s="1227"/>
      <c r="M31" s="2216"/>
      <c r="N31" s="2225"/>
      <c r="O31" s="2197"/>
      <c r="P31" s="1321"/>
      <c r="Q31" s="1529"/>
      <c r="R31" s="1532"/>
      <c r="S31" s="1532"/>
      <c r="T31" s="170"/>
    </row>
    <row r="32" spans="1:22" s="201" customFormat="1" ht="19.5" customHeight="1">
      <c r="A32" s="543">
        <v>892</v>
      </c>
      <c r="B32" s="2238">
        <v>38</v>
      </c>
      <c r="C32" s="781" t="s">
        <v>911</v>
      </c>
      <c r="D32" s="222">
        <v>3210.0390000000002</v>
      </c>
      <c r="E32" s="231"/>
      <c r="F32" s="2160"/>
      <c r="G32" s="2160"/>
      <c r="H32" s="2158"/>
      <c r="I32" s="67"/>
      <c r="J32" s="4"/>
      <c r="K32" s="4"/>
      <c r="L32" s="793"/>
      <c r="M32" s="2217"/>
      <c r="N32" s="2226"/>
      <c r="O32" s="2197"/>
      <c r="P32" s="1321"/>
      <c r="Q32" s="1529"/>
      <c r="R32" s="1533"/>
      <c r="S32" s="1533"/>
      <c r="T32" s="170"/>
    </row>
    <row r="33" spans="1:25" s="201" customFormat="1" ht="13.5" thickBot="1">
      <c r="A33" s="540">
        <v>894</v>
      </c>
      <c r="B33" s="551"/>
      <c r="C33" s="546" t="s">
        <v>453</v>
      </c>
      <c r="D33" s="301">
        <v>20.276</v>
      </c>
      <c r="E33" s="231"/>
      <c r="F33" s="2197"/>
      <c r="G33" s="2197"/>
      <c r="H33" s="2197"/>
      <c r="I33" s="2197"/>
      <c r="J33" s="2197"/>
      <c r="K33" s="4"/>
      <c r="L33" s="793"/>
      <c r="M33" s="2217"/>
      <c r="N33" s="2226"/>
      <c r="O33" s="2197"/>
      <c r="P33" s="1321"/>
      <c r="Q33" s="1529"/>
      <c r="R33" s="1323"/>
      <c r="S33" s="1323"/>
      <c r="T33" s="170"/>
    </row>
    <row r="34" spans="1:25" s="201" customFormat="1" ht="26.25" customHeight="1" thickBot="1">
      <c r="A34" s="547">
        <v>886</v>
      </c>
      <c r="B34" s="548"/>
      <c r="C34" s="549" t="s">
        <v>640</v>
      </c>
      <c r="D34" s="357">
        <f>SUM(D8+D12+D16+D25+D30+D31+D32+D33)</f>
        <v>169126.44100000002</v>
      </c>
      <c r="E34" s="2015"/>
      <c r="F34" s="2197"/>
      <c r="G34" s="2197"/>
      <c r="H34" s="2197"/>
      <c r="I34" s="2197"/>
      <c r="J34" s="2197"/>
      <c r="K34" s="4"/>
      <c r="L34" s="550"/>
      <c r="M34" s="1216"/>
      <c r="N34" s="2230"/>
      <c r="O34" s="2197"/>
      <c r="P34" s="1321"/>
      <c r="Q34" s="1323"/>
      <c r="R34" s="1323"/>
      <c r="S34" s="1323"/>
      <c r="T34" s="170"/>
    </row>
    <row r="35" spans="1:25" s="201" customFormat="1" ht="13.5" thickBot="1">
      <c r="A35" s="550">
        <v>896</v>
      </c>
      <c r="B35" s="551"/>
      <c r="C35" s="552" t="s">
        <v>92</v>
      </c>
      <c r="D35" s="302">
        <f>RR!C7</f>
        <v>169126.47</v>
      </c>
      <c r="F35" s="2197"/>
      <c r="G35" s="2197"/>
      <c r="H35" s="2197"/>
      <c r="I35" s="2197"/>
      <c r="J35" s="2197"/>
      <c r="K35" s="4"/>
      <c r="M35" s="19"/>
      <c r="N35" s="170"/>
      <c r="O35" s="2197"/>
      <c r="Q35" s="1323"/>
      <c r="R35" s="1282"/>
      <c r="S35" s="1282"/>
      <c r="T35" s="170"/>
    </row>
    <row r="36" spans="1:25" s="201" customFormat="1" ht="50.25" customHeight="1" thickBot="1">
      <c r="A36" s="2017" t="s">
        <v>363</v>
      </c>
      <c r="B36" s="4"/>
      <c r="C36" s="4"/>
      <c r="D36" s="2069"/>
      <c r="E36" s="231"/>
      <c r="F36" s="171"/>
      <c r="G36" s="172"/>
      <c r="H36" s="216"/>
      <c r="I36" s="67"/>
      <c r="J36" s="4"/>
      <c r="K36" s="4"/>
      <c r="L36" s="1262" t="str">
        <f>"Kontroller av förändring mellan "&amp;År-1&amp;" och "&amp;År&amp;""</f>
        <v>Kontroller av förändring mellan 2020 och 2021</v>
      </c>
      <c r="O36" s="2197"/>
      <c r="Q36" s="170"/>
      <c r="R36" s="170"/>
      <c r="S36" s="170"/>
      <c r="T36" s="170"/>
    </row>
    <row r="37" spans="1:25" s="201" customFormat="1" ht="12.75">
      <c r="A37" s="602" t="s">
        <v>622</v>
      </c>
      <c r="B37" s="2051" t="s">
        <v>1206</v>
      </c>
      <c r="C37" s="787"/>
      <c r="D37" s="783"/>
      <c r="E37" s="231"/>
      <c r="F37" s="75" t="s">
        <v>751</v>
      </c>
      <c r="G37" s="207"/>
      <c r="H37" s="208"/>
      <c r="I37" s="218"/>
      <c r="J37" s="181"/>
      <c r="K37" s="181"/>
      <c r="L37" s="796" t="s">
        <v>622</v>
      </c>
      <c r="M37" s="797" t="s">
        <v>1215</v>
      </c>
      <c r="N37" s="2233" t="s">
        <v>752</v>
      </c>
      <c r="O37" s="2197"/>
      <c r="P37" s="1320"/>
      <c r="Q37" s="89"/>
      <c r="R37" s="1324"/>
      <c r="S37" s="89"/>
      <c r="T37" s="1261"/>
      <c r="U37" s="200"/>
      <c r="V37" s="200"/>
      <c r="W37" s="200"/>
      <c r="X37" s="200"/>
      <c r="Y37" s="200"/>
    </row>
    <row r="38" spans="1:25" s="200" customFormat="1" ht="12.75">
      <c r="A38" s="788" t="s">
        <v>625</v>
      </c>
      <c r="B38" s="2494"/>
      <c r="C38" s="790"/>
      <c r="D38" s="784"/>
      <c r="E38" s="231"/>
      <c r="F38" s="209"/>
      <c r="G38" s="7"/>
      <c r="H38" s="2027"/>
      <c r="I38" s="216"/>
      <c r="J38" s="181"/>
      <c r="K38" s="181"/>
      <c r="L38" s="798" t="s">
        <v>625</v>
      </c>
      <c r="M38" s="799">
        <f>År-1</f>
        <v>2020</v>
      </c>
      <c r="N38" s="2234" t="str">
        <f>År-1&amp;-År</f>
        <v>2020-2021</v>
      </c>
      <c r="O38" s="2197"/>
      <c r="P38" s="1320"/>
      <c r="Q38" s="261"/>
      <c r="R38" s="1333"/>
      <c r="S38" s="1297"/>
      <c r="T38" s="1527"/>
    </row>
    <row r="39" spans="1:25" s="200" customFormat="1" ht="18.75" customHeight="1" thickBot="1">
      <c r="A39" s="791"/>
      <c r="B39" s="2495"/>
      <c r="C39" s="597"/>
      <c r="D39" s="792"/>
      <c r="E39" s="231"/>
      <c r="F39" s="2028"/>
      <c r="G39" s="2028"/>
      <c r="H39" s="2029"/>
      <c r="I39" s="2030"/>
      <c r="J39" s="1245"/>
      <c r="K39" s="4"/>
      <c r="L39" s="800"/>
      <c r="M39" s="801"/>
      <c r="N39" s="2234" t="s">
        <v>753</v>
      </c>
      <c r="O39" s="2197"/>
      <c r="P39" s="1320"/>
      <c r="Q39" s="145"/>
      <c r="R39" s="1534"/>
      <c r="S39" s="1535"/>
      <c r="T39" s="1323"/>
      <c r="U39" s="201"/>
      <c r="V39" s="201"/>
      <c r="W39" s="201"/>
      <c r="X39" s="201"/>
      <c r="Y39" s="201"/>
    </row>
    <row r="40" spans="1:25" s="201" customFormat="1" ht="18" customHeight="1" thickBot="1">
      <c r="A40" s="793">
        <v>600</v>
      </c>
      <c r="B40" s="794">
        <v>451</v>
      </c>
      <c r="C40" s="795" t="s">
        <v>698</v>
      </c>
      <c r="D40" s="194">
        <v>12832.993</v>
      </c>
      <c r="E40" s="231"/>
      <c r="F40" s="706">
        <v>602</v>
      </c>
      <c r="G40" s="707">
        <v>4513</v>
      </c>
      <c r="H40" s="708" t="s">
        <v>154</v>
      </c>
      <c r="I40" s="1993">
        <v>120.952</v>
      </c>
      <c r="J40" s="142"/>
      <c r="K40" s="142"/>
      <c r="L40" s="1227"/>
      <c r="M40" s="1223"/>
      <c r="N40" s="2225"/>
      <c r="O40" s="2197"/>
      <c r="P40" s="1318"/>
      <c r="Q40" s="1323"/>
      <c r="R40" s="1332"/>
      <c r="S40" s="1332"/>
      <c r="T40" s="1323"/>
    </row>
    <row r="41" spans="1:25" s="201" customFormat="1" ht="12.75">
      <c r="A41" s="562">
        <v>610</v>
      </c>
      <c r="B41" s="563">
        <v>452</v>
      </c>
      <c r="C41" s="556" t="s">
        <v>699</v>
      </c>
      <c r="D41" s="99">
        <v>917.10900000000004</v>
      </c>
      <c r="E41" s="231"/>
      <c r="F41" s="802">
        <v>630</v>
      </c>
      <c r="G41" s="803">
        <v>4538</v>
      </c>
      <c r="H41" s="2251" t="s">
        <v>1199</v>
      </c>
      <c r="I41" s="2211">
        <v>4471.0739999999996</v>
      </c>
      <c r="J41" s="293"/>
      <c r="K41" s="293"/>
      <c r="L41" s="793"/>
      <c r="M41" s="770"/>
      <c r="N41" s="2226"/>
      <c r="O41" s="2197"/>
      <c r="P41" s="1318"/>
      <c r="Q41" s="1323"/>
      <c r="R41" s="1332"/>
      <c r="S41" s="1332"/>
      <c r="T41" s="1323"/>
    </row>
    <row r="42" spans="1:25" s="201" customFormat="1" ht="18" customHeight="1" thickBot="1">
      <c r="A42" s="562">
        <v>620</v>
      </c>
      <c r="B42" s="560">
        <v>453</v>
      </c>
      <c r="C42" s="2201" t="s">
        <v>1198</v>
      </c>
      <c r="D42" s="178">
        <v>14776.287</v>
      </c>
      <c r="E42" s="231"/>
      <c r="F42" s="579">
        <v>631</v>
      </c>
      <c r="G42" s="1798" t="s">
        <v>1030</v>
      </c>
      <c r="H42" s="2049" t="s">
        <v>1034</v>
      </c>
      <c r="I42" s="229">
        <v>1302.6410000000001</v>
      </c>
      <c r="J42" s="142"/>
      <c r="K42" s="142"/>
      <c r="L42" s="555"/>
      <c r="M42" s="785"/>
      <c r="N42" s="2227"/>
      <c r="O42" s="2197"/>
      <c r="P42" s="1318"/>
      <c r="Q42" s="1323"/>
      <c r="R42" s="1332"/>
      <c r="S42" s="1332"/>
      <c r="T42" s="1323"/>
    </row>
    <row r="43" spans="1:25" s="201" customFormat="1" ht="20.25" customHeight="1">
      <c r="A43" s="670">
        <v>650</v>
      </c>
      <c r="B43" s="560">
        <v>454</v>
      </c>
      <c r="C43" s="561" t="s">
        <v>941</v>
      </c>
      <c r="D43" s="178">
        <v>676.59699999999998</v>
      </c>
      <c r="E43" s="231"/>
      <c r="F43" s="1416" t="s">
        <v>820</v>
      </c>
      <c r="G43" s="1417" t="s">
        <v>766</v>
      </c>
      <c r="H43" s="1331" t="s">
        <v>942</v>
      </c>
      <c r="I43" s="1272">
        <v>392.99700000000001</v>
      </c>
      <c r="J43" s="142"/>
      <c r="K43" s="142"/>
      <c r="L43" s="793"/>
      <c r="M43" s="770"/>
      <c r="N43" s="2226"/>
      <c r="O43" s="2197"/>
      <c r="P43" s="1318"/>
      <c r="Q43" s="1323"/>
      <c r="R43" s="1332"/>
      <c r="S43" s="1332"/>
      <c r="T43" s="1323"/>
    </row>
    <row r="44" spans="1:25" s="201" customFormat="1" ht="13.5" thickBot="1">
      <c r="A44" s="550">
        <v>690</v>
      </c>
      <c r="B44" s="565"/>
      <c r="C44" s="539" t="s">
        <v>771</v>
      </c>
      <c r="D44" s="358">
        <f>SUM(D40,D41,D42,D43)</f>
        <v>29202.986000000004</v>
      </c>
      <c r="E44" s="231"/>
      <c r="F44" s="1418">
        <v>652</v>
      </c>
      <c r="G44" s="1419">
        <v>4542</v>
      </c>
      <c r="H44" s="1342" t="s">
        <v>943</v>
      </c>
      <c r="I44" s="1273">
        <v>283.60000000000002</v>
      </c>
      <c r="J44" s="142"/>
      <c r="L44" s="564">
        <v>690</v>
      </c>
      <c r="M44" s="1218">
        <v>29409.984</v>
      </c>
      <c r="N44" s="2228">
        <f>IF(ISERROR((D44-M44)/M44),0,((D44-M44)/M44))</f>
        <v>-7.0383581303545065E-3</v>
      </c>
      <c r="O44" s="2197"/>
      <c r="P44" s="1322"/>
      <c r="Q44" s="1323"/>
      <c r="R44" s="1324"/>
      <c r="S44" s="1332"/>
      <c r="T44" s="1323"/>
      <c r="V44" s="1317"/>
    </row>
    <row r="45" spans="1:25" s="201" customFormat="1" ht="23.25" customHeight="1">
      <c r="A45" s="566">
        <v>100</v>
      </c>
      <c r="B45" s="1412" t="s">
        <v>1148</v>
      </c>
      <c r="C45" s="568" t="s">
        <v>700</v>
      </c>
      <c r="D45" s="99">
        <v>298634.06199999998</v>
      </c>
      <c r="E45" s="231"/>
      <c r="F45" s="1274">
        <v>102</v>
      </c>
      <c r="G45" s="1275">
        <v>512</v>
      </c>
      <c r="H45" s="1276" t="s">
        <v>155</v>
      </c>
      <c r="I45" s="1277">
        <v>7483.076</v>
      </c>
      <c r="J45" s="142"/>
      <c r="K45" s="142"/>
      <c r="L45" s="775">
        <v>100</v>
      </c>
      <c r="M45" s="1217">
        <v>290092.81800000003</v>
      </c>
      <c r="N45" s="2227">
        <f>IF(ISERROR((D45-M45)/M45),0,((D45-M45)/M45))</f>
        <v>2.9443141884332853E-2</v>
      </c>
      <c r="O45" s="2197"/>
      <c r="P45" s="1318"/>
      <c r="Q45" s="1282"/>
      <c r="R45" s="2046"/>
      <c r="S45" s="1535"/>
      <c r="T45" s="1323"/>
    </row>
    <row r="46" spans="1:25" s="201" customFormat="1" ht="21" customHeight="1">
      <c r="A46" s="553">
        <v>110</v>
      </c>
      <c r="B46" s="2072" t="s">
        <v>1149</v>
      </c>
      <c r="C46" s="554" t="str">
        <f>"Sociala avg. enl. lag o. avtal (inkl. lönesk för "&amp;År&amp;"), exkl särskild löneskatt på avsättning pensioner"</f>
        <v>Sociala avg. enl. lag o. avtal (inkl. lönesk för 2021), exkl särskild löneskatt på avsättning pensioner</v>
      </c>
      <c r="D46" s="308">
        <v>97936.964999999997</v>
      </c>
      <c r="E46" s="231"/>
      <c r="F46" s="581">
        <v>111</v>
      </c>
      <c r="G46" s="1258" t="s">
        <v>759</v>
      </c>
      <c r="H46" s="582" t="s">
        <v>769</v>
      </c>
      <c r="I46" s="291">
        <v>6799.4889999999996</v>
      </c>
      <c r="J46" s="142"/>
      <c r="K46" s="142"/>
      <c r="L46" s="1225"/>
      <c r="M46" s="1065"/>
      <c r="N46" s="2226"/>
      <c r="O46" s="2197"/>
      <c r="P46" s="1318"/>
      <c r="Q46" s="1282"/>
      <c r="R46" s="2075"/>
      <c r="S46" s="1535"/>
      <c r="T46" s="1323"/>
    </row>
    <row r="47" spans="1:25" s="201" customFormat="1" ht="13.5" customHeight="1">
      <c r="A47" s="2136">
        <v>103</v>
      </c>
      <c r="B47" s="2076">
        <v>591</v>
      </c>
      <c r="C47" s="556" t="s">
        <v>1151</v>
      </c>
      <c r="D47" s="99">
        <v>-1550.7840000000001</v>
      </c>
      <c r="E47" s="231"/>
      <c r="F47" s="2078"/>
      <c r="G47" s="2079"/>
      <c r="H47" s="2080"/>
      <c r="I47" s="2113"/>
      <c r="J47" s="142"/>
      <c r="K47" s="142"/>
      <c r="L47" s="1225"/>
      <c r="M47" s="1065"/>
      <c r="N47" s="2226"/>
      <c r="O47" s="2197"/>
      <c r="P47" s="1318"/>
      <c r="Q47" s="1282"/>
      <c r="R47" s="2075"/>
      <c r="S47" s="1535"/>
      <c r="T47" s="1323"/>
    </row>
    <row r="48" spans="1:25" s="201" customFormat="1" ht="18.75" customHeight="1">
      <c r="A48" s="555">
        <v>115</v>
      </c>
      <c r="B48" s="2073" t="s">
        <v>1150</v>
      </c>
      <c r="C48" s="556" t="s">
        <v>1093</v>
      </c>
      <c r="D48" s="99">
        <v>5796.1409999999996</v>
      </c>
      <c r="E48" s="231"/>
      <c r="F48" s="2081"/>
      <c r="G48" s="2082"/>
      <c r="H48" s="2083"/>
      <c r="I48" s="2077"/>
      <c r="J48" s="142"/>
      <c r="L48" s="555">
        <v>115</v>
      </c>
      <c r="M48" s="1217">
        <v>3144.5859999999998</v>
      </c>
      <c r="N48" s="2227">
        <f>IF(ISERROR((D48-M48)/M48),0,((D48-M48)/M48))</f>
        <v>0.84321274724240325</v>
      </c>
      <c r="O48" s="2197"/>
      <c r="P48" s="1318"/>
      <c r="Q48" s="1323"/>
      <c r="R48" s="1323"/>
      <c r="S48" s="1323"/>
      <c r="T48" s="1323"/>
    </row>
    <row r="49" spans="1:20" s="201" customFormat="1" ht="13.5" customHeight="1">
      <c r="A49" s="557">
        <v>120</v>
      </c>
      <c r="B49" s="558">
        <v>573</v>
      </c>
      <c r="C49" s="556" t="s">
        <v>935</v>
      </c>
      <c r="D49" s="224">
        <v>10538.732</v>
      </c>
      <c r="E49" s="231"/>
      <c r="F49" s="706">
        <v>121</v>
      </c>
      <c r="G49" s="707" t="s">
        <v>552</v>
      </c>
      <c r="H49" s="760" t="s">
        <v>806</v>
      </c>
      <c r="I49" s="289">
        <v>1382.654</v>
      </c>
      <c r="J49" s="1245"/>
      <c r="L49" s="553">
        <v>120</v>
      </c>
      <c r="M49" s="1211">
        <v>10367.753000000001</v>
      </c>
      <c r="N49" s="2231">
        <f>IF(ISERROR((D49-M49)/M49),0,((D49-M49)/M49))</f>
        <v>1.6491422972750157E-2</v>
      </c>
      <c r="O49" s="2197"/>
      <c r="P49" s="1321"/>
      <c r="Q49" s="1323"/>
      <c r="R49" s="1332"/>
      <c r="S49" s="1332"/>
      <c r="T49" s="1323"/>
    </row>
    <row r="50" spans="1:20" s="201" customFormat="1" ht="12.75">
      <c r="A50" s="557">
        <v>180</v>
      </c>
      <c r="B50" s="560">
        <v>571</v>
      </c>
      <c r="C50" s="556" t="s">
        <v>772</v>
      </c>
      <c r="D50" s="178">
        <v>3532.9259999999999</v>
      </c>
      <c r="E50" s="231"/>
      <c r="F50" s="709">
        <v>122</v>
      </c>
      <c r="G50" s="671" t="s">
        <v>553</v>
      </c>
      <c r="H50" s="762" t="s">
        <v>807</v>
      </c>
      <c r="I50" s="290">
        <v>8958.902</v>
      </c>
      <c r="J50" s="1998"/>
      <c r="K50" s="4"/>
      <c r="L50" s="557"/>
      <c r="M50" s="1074"/>
      <c r="N50" s="2229"/>
      <c r="O50" s="2197"/>
      <c r="P50" s="1318"/>
      <c r="Q50" s="1323"/>
      <c r="R50" s="1332"/>
      <c r="S50" s="1332"/>
      <c r="T50" s="1323"/>
    </row>
    <row r="51" spans="1:20" s="201" customFormat="1" ht="12.75">
      <c r="A51" s="562">
        <v>186</v>
      </c>
      <c r="B51" s="563">
        <v>574</v>
      </c>
      <c r="C51" s="556" t="s">
        <v>5</v>
      </c>
      <c r="D51" s="99">
        <v>96.32</v>
      </c>
      <c r="E51" s="231"/>
      <c r="F51" s="711">
        <v>123</v>
      </c>
      <c r="G51" s="806">
        <v>5733</v>
      </c>
      <c r="H51" s="580" t="s">
        <v>808</v>
      </c>
      <c r="I51" s="291">
        <v>207.09100000000001</v>
      </c>
      <c r="J51" s="1998"/>
      <c r="K51" s="157"/>
      <c r="L51" s="793"/>
      <c r="M51" s="1065"/>
      <c r="N51" s="2226"/>
      <c r="O51" s="2197"/>
      <c r="P51" s="1318"/>
      <c r="Q51" s="1323"/>
      <c r="R51" s="1332"/>
      <c r="S51" s="1332"/>
      <c r="T51" s="1323"/>
    </row>
    <row r="52" spans="1:20" s="201" customFormat="1" ht="12.75">
      <c r="A52" s="562">
        <v>185</v>
      </c>
      <c r="B52" s="560">
        <v>575</v>
      </c>
      <c r="C52" s="561" t="str">
        <f>"Pensionskostnad, avgiftsbestämd ålderspension"</f>
        <v>Pensionskostnad, avgiftsbestämd ålderspension</v>
      </c>
      <c r="D52" s="178">
        <v>14295.159</v>
      </c>
      <c r="E52" s="1968"/>
      <c r="F52" s="4"/>
      <c r="G52" s="4"/>
      <c r="H52" s="67"/>
      <c r="K52" s="4"/>
      <c r="L52" s="793"/>
      <c r="M52" s="1065"/>
      <c r="N52" s="2226"/>
      <c r="O52" s="2197"/>
      <c r="P52" s="1318"/>
      <c r="Q52" s="1323"/>
      <c r="R52" s="1332"/>
      <c r="S52" s="1332"/>
      <c r="T52" s="170"/>
    </row>
    <row r="53" spans="1:20" s="201" customFormat="1" ht="13.5" thickBot="1">
      <c r="A53" s="564">
        <v>189</v>
      </c>
      <c r="B53" s="565"/>
      <c r="C53" s="539" t="s">
        <v>701</v>
      </c>
      <c r="D53" s="358">
        <f>SUM(D45:D52)</f>
        <v>429279.52100000001</v>
      </c>
      <c r="E53" s="231"/>
      <c r="F53" s="4"/>
      <c r="G53" s="4"/>
      <c r="H53" s="67"/>
      <c r="I53" s="67"/>
      <c r="L53" s="564"/>
      <c r="M53" s="1218"/>
      <c r="N53" s="2228"/>
      <c r="O53" s="2197"/>
      <c r="P53" s="1322"/>
      <c r="Q53" s="1323"/>
      <c r="R53" s="1324"/>
      <c r="S53" s="1324"/>
      <c r="T53" s="170"/>
    </row>
    <row r="54" spans="1:20" s="201" customFormat="1" ht="12.75">
      <c r="A54" s="566">
        <v>300</v>
      </c>
      <c r="B54" s="563" t="s">
        <v>802</v>
      </c>
      <c r="C54" s="556" t="s">
        <v>801</v>
      </c>
      <c r="D54" s="99">
        <v>9748.2939999999999</v>
      </c>
      <c r="E54" s="231"/>
      <c r="F54" s="703">
        <v>318</v>
      </c>
      <c r="G54" s="804">
        <v>628</v>
      </c>
      <c r="H54" s="805" t="s">
        <v>156</v>
      </c>
      <c r="I54" s="228">
        <v>614.673</v>
      </c>
      <c r="J54" s="142"/>
      <c r="K54" s="142"/>
      <c r="L54" s="1227"/>
      <c r="M54" s="1248"/>
      <c r="N54" s="2225"/>
      <c r="O54" s="2197"/>
      <c r="P54" s="1318"/>
      <c r="Q54" s="1282"/>
      <c r="R54" s="1349"/>
      <c r="S54" s="1332"/>
      <c r="T54" s="1323"/>
    </row>
    <row r="55" spans="1:20" s="201" customFormat="1" ht="12.75">
      <c r="A55" s="562">
        <v>325</v>
      </c>
      <c r="B55" s="563">
        <v>644</v>
      </c>
      <c r="C55" s="556" t="s">
        <v>702</v>
      </c>
      <c r="D55" s="99">
        <v>7137.009</v>
      </c>
      <c r="E55" s="231"/>
      <c r="F55" s="4"/>
      <c r="G55" s="4"/>
      <c r="H55" s="67"/>
      <c r="K55" s="4"/>
      <c r="L55" s="793"/>
      <c r="M55" s="1065"/>
      <c r="N55" s="2226"/>
      <c r="O55" s="2197"/>
      <c r="P55" s="1318"/>
      <c r="Q55" s="1323"/>
      <c r="R55" s="1332"/>
      <c r="S55" s="1332"/>
      <c r="T55" s="170"/>
    </row>
    <row r="56" spans="1:20" s="201" customFormat="1" ht="12.75">
      <c r="A56" s="562">
        <v>330</v>
      </c>
      <c r="B56" s="563">
        <v>651</v>
      </c>
      <c r="C56" s="556" t="s">
        <v>703</v>
      </c>
      <c r="D56" s="99">
        <v>329.95100000000002</v>
      </c>
      <c r="E56" s="231"/>
      <c r="F56" s="4"/>
      <c r="G56" s="4"/>
      <c r="H56" s="67"/>
      <c r="I56" s="67"/>
      <c r="L56" s="793"/>
      <c r="M56" s="1065"/>
      <c r="N56" s="2226"/>
      <c r="O56" s="2197"/>
      <c r="P56" s="1318"/>
      <c r="Q56" s="1323"/>
      <c r="R56" s="1332"/>
      <c r="S56" s="1332"/>
      <c r="T56" s="170"/>
    </row>
    <row r="57" spans="1:20" s="201" customFormat="1" ht="12.75">
      <c r="A57" s="562">
        <v>340</v>
      </c>
      <c r="B57" s="567" t="s">
        <v>678</v>
      </c>
      <c r="C57" s="568" t="s">
        <v>704</v>
      </c>
      <c r="D57" s="99">
        <v>20740.755000000001</v>
      </c>
      <c r="E57" s="231"/>
      <c r="F57" s="1409" t="s">
        <v>819</v>
      </c>
      <c r="G57" s="1672">
        <v>641</v>
      </c>
      <c r="H57" s="1673" t="s">
        <v>779</v>
      </c>
      <c r="I57" s="1674">
        <v>3893.4630000000002</v>
      </c>
      <c r="J57" s="142"/>
      <c r="K57" s="4"/>
      <c r="L57" s="555"/>
      <c r="M57" s="1217"/>
      <c r="N57" s="2227"/>
      <c r="O57" s="2197"/>
      <c r="P57" s="1318"/>
      <c r="Q57" s="1323"/>
      <c r="R57" s="1349"/>
      <c r="S57" s="1332"/>
      <c r="T57" s="1349"/>
    </row>
    <row r="58" spans="1:20" s="201" customFormat="1" ht="13.5" thickBot="1">
      <c r="A58" s="564">
        <v>360</v>
      </c>
      <c r="B58" s="569"/>
      <c r="C58" s="570" t="s">
        <v>705</v>
      </c>
      <c r="D58" s="358">
        <f>SUM(D54,D55,D56,D57)</f>
        <v>37956.009000000005</v>
      </c>
      <c r="E58" s="231"/>
      <c r="F58" s="1411" t="s">
        <v>977</v>
      </c>
      <c r="G58" s="2247">
        <v>418</v>
      </c>
      <c r="H58" s="2252" t="s">
        <v>1200</v>
      </c>
      <c r="I58" s="1306">
        <v>1972.682</v>
      </c>
      <c r="J58" s="142"/>
      <c r="K58" s="4"/>
      <c r="L58" s="564">
        <v>360</v>
      </c>
      <c r="M58" s="1218">
        <v>36817.188999999998</v>
      </c>
      <c r="N58" s="2228">
        <f>IF(ISERROR((D58-M58)/M58),0,((D58-M58)/M58))</f>
        <v>3.0931747668188549E-2</v>
      </c>
      <c r="O58" s="2197"/>
      <c r="P58" s="1322"/>
      <c r="Q58" s="1323"/>
      <c r="R58" s="17"/>
      <c r="S58" s="1332"/>
      <c r="T58" s="1349"/>
    </row>
    <row r="59" spans="1:20" s="201" customFormat="1" ht="12.75" customHeight="1">
      <c r="A59" s="562">
        <v>345</v>
      </c>
      <c r="B59" s="563" t="s">
        <v>813</v>
      </c>
      <c r="C59" s="556" t="s">
        <v>1108</v>
      </c>
      <c r="D59" s="99">
        <v>8356.9959999999992</v>
      </c>
      <c r="E59" s="231"/>
      <c r="F59" s="4"/>
      <c r="G59" s="4"/>
      <c r="H59" s="67"/>
      <c r="I59" s="67"/>
      <c r="K59" s="4"/>
      <c r="L59" s="1227"/>
      <c r="M59" s="1248"/>
      <c r="N59" s="2225"/>
      <c r="O59" s="2197"/>
      <c r="P59" s="1318"/>
      <c r="Q59" s="1323"/>
      <c r="R59" s="1332"/>
      <c r="S59" s="1332"/>
      <c r="T59" s="170"/>
    </row>
    <row r="60" spans="1:20" s="201" customFormat="1" ht="12.75">
      <c r="A60" s="562">
        <v>401</v>
      </c>
      <c r="B60" s="563">
        <v>46</v>
      </c>
      <c r="C60" s="556" t="s">
        <v>773</v>
      </c>
      <c r="D60" s="99">
        <v>143695.503</v>
      </c>
      <c r="E60" s="231"/>
      <c r="F60" s="4"/>
      <c r="G60" s="4"/>
      <c r="H60" s="67"/>
      <c r="I60" s="67"/>
      <c r="K60" s="4"/>
      <c r="L60" s="553">
        <v>401</v>
      </c>
      <c r="M60" s="1211">
        <v>138097.58300000001</v>
      </c>
      <c r="N60" s="2231">
        <f>IF(ISERROR((D60-M60)/M60),0,((D60-M60)/M60))</f>
        <v>4.0535973754153125E-2</v>
      </c>
      <c r="O60" s="2197"/>
      <c r="P60" s="1318"/>
      <c r="Q60" s="1323"/>
      <c r="R60" s="1332"/>
      <c r="S60" s="1332"/>
      <c r="T60" s="170"/>
    </row>
    <row r="61" spans="1:20" s="201" customFormat="1" ht="12.75">
      <c r="A61" s="562">
        <v>410</v>
      </c>
      <c r="B61" s="563">
        <v>74</v>
      </c>
      <c r="C61" s="556" t="s">
        <v>804</v>
      </c>
      <c r="D61" s="99">
        <v>22699.63</v>
      </c>
      <c r="E61" s="231"/>
      <c r="F61" s="4"/>
      <c r="G61" s="4"/>
      <c r="H61" s="67"/>
      <c r="I61" s="67"/>
      <c r="K61" s="4"/>
      <c r="L61" s="793"/>
      <c r="M61" s="1065"/>
      <c r="N61" s="2226"/>
      <c r="O61" s="2197"/>
      <c r="P61" s="1318"/>
      <c r="Q61" s="1323"/>
      <c r="R61" s="1527"/>
      <c r="S61" s="1332"/>
      <c r="T61" s="170"/>
    </row>
    <row r="62" spans="1:20" s="201" customFormat="1" ht="17.25" customHeight="1">
      <c r="A62" s="562">
        <v>411</v>
      </c>
      <c r="B62" s="563">
        <v>75</v>
      </c>
      <c r="C62" s="556" t="s">
        <v>1111</v>
      </c>
      <c r="D62" s="99">
        <v>2283.58</v>
      </c>
      <c r="E62" s="231"/>
      <c r="F62" s="4"/>
      <c r="G62" s="4"/>
      <c r="H62" s="67"/>
      <c r="I62" s="67"/>
      <c r="K62" s="4"/>
      <c r="L62" s="793"/>
      <c r="M62" s="1065"/>
      <c r="N62" s="2226"/>
      <c r="O62" s="2197"/>
      <c r="P62" s="1318"/>
      <c r="Q62" s="1323"/>
      <c r="R62" s="1332"/>
      <c r="S62" s="1332"/>
      <c r="T62" s="170"/>
    </row>
    <row r="63" spans="1:20" s="201" customFormat="1" ht="12.75">
      <c r="A63" s="562">
        <v>415</v>
      </c>
      <c r="B63" s="563" t="s">
        <v>814</v>
      </c>
      <c r="C63" s="556" t="s">
        <v>1161</v>
      </c>
      <c r="D63" s="99">
        <v>4204.8100000000004</v>
      </c>
      <c r="E63" s="231"/>
      <c r="F63" s="4"/>
      <c r="G63" s="4"/>
      <c r="H63" s="67"/>
      <c r="I63" s="67"/>
      <c r="K63" s="4"/>
      <c r="L63" s="793"/>
      <c r="M63" s="1065"/>
      <c r="N63" s="2226"/>
      <c r="O63" s="2197"/>
      <c r="P63" s="1318"/>
      <c r="Q63" s="1323"/>
      <c r="R63" s="1349"/>
      <c r="S63" s="1332"/>
      <c r="T63" s="170"/>
    </row>
    <row r="64" spans="1:20" s="201" customFormat="1" ht="12.75">
      <c r="A64" s="562">
        <v>416</v>
      </c>
      <c r="B64" s="567">
        <v>68</v>
      </c>
      <c r="C64" s="556" t="s">
        <v>706</v>
      </c>
      <c r="D64" s="99">
        <v>2166.2109999999998</v>
      </c>
      <c r="E64" s="231"/>
      <c r="F64" s="4"/>
      <c r="G64" s="4"/>
      <c r="H64" s="67"/>
      <c r="I64" s="67"/>
      <c r="K64" s="4"/>
      <c r="L64" s="793"/>
      <c r="M64" s="1065"/>
      <c r="N64" s="2226"/>
      <c r="O64" s="2197"/>
      <c r="P64" s="1318"/>
      <c r="Q64" s="1323"/>
      <c r="R64" s="1349"/>
      <c r="S64" s="1349"/>
      <c r="T64" s="170"/>
    </row>
    <row r="65" spans="1:25" s="201" customFormat="1" ht="12.75">
      <c r="A65" s="562">
        <v>430</v>
      </c>
      <c r="B65" s="567">
        <v>66</v>
      </c>
      <c r="C65" s="556" t="s">
        <v>774</v>
      </c>
      <c r="D65" s="99">
        <v>1879.8610000000001</v>
      </c>
      <c r="E65" s="231"/>
      <c r="F65" s="4"/>
      <c r="G65" s="4"/>
      <c r="H65" s="67"/>
      <c r="I65" s="67"/>
      <c r="K65" s="4"/>
      <c r="L65" s="793"/>
      <c r="M65" s="1065"/>
      <c r="N65" s="2226"/>
      <c r="O65" s="2197"/>
      <c r="P65" s="1318"/>
      <c r="Q65" s="1323"/>
      <c r="R65" s="1349"/>
      <c r="S65" s="1349"/>
      <c r="T65" s="170"/>
    </row>
    <row r="66" spans="1:25" s="201" customFormat="1" ht="12.75">
      <c r="A66" s="562">
        <v>440</v>
      </c>
      <c r="B66" s="567">
        <v>701</v>
      </c>
      <c r="C66" s="556" t="s">
        <v>1109</v>
      </c>
      <c r="D66" s="99">
        <v>7357.5780000000004</v>
      </c>
      <c r="E66" s="231"/>
      <c r="F66" s="4"/>
      <c r="G66" s="4"/>
      <c r="H66" s="67"/>
      <c r="I66" s="67"/>
      <c r="K66" s="4"/>
      <c r="L66" s="555"/>
      <c r="M66" s="1217"/>
      <c r="N66" s="2227"/>
      <c r="O66" s="2197"/>
      <c r="P66" s="1318"/>
      <c r="Q66" s="1323"/>
      <c r="R66" s="1332"/>
      <c r="S66" s="1349"/>
      <c r="T66" s="170"/>
    </row>
    <row r="67" spans="1:25" s="201" customFormat="1" ht="12.75">
      <c r="A67" s="562">
        <v>450</v>
      </c>
      <c r="B67" s="567">
        <v>601</v>
      </c>
      <c r="C67" s="556" t="s">
        <v>1110</v>
      </c>
      <c r="D67" s="99">
        <v>35134.730000000003</v>
      </c>
      <c r="E67" s="231"/>
      <c r="F67" s="4"/>
      <c r="G67" s="4"/>
      <c r="H67" s="67"/>
      <c r="I67" s="67"/>
      <c r="K67" s="4"/>
      <c r="L67" s="553">
        <v>450</v>
      </c>
      <c r="M67" s="1211">
        <v>36006.241999999998</v>
      </c>
      <c r="N67" s="2231">
        <f>IF(ISERROR((D67-M67)/M67),0,((D67-M67)/M67))</f>
        <v>-2.4204469880527803E-2</v>
      </c>
      <c r="O67" s="2197"/>
      <c r="P67" s="1318"/>
      <c r="Q67" s="1323"/>
      <c r="R67" s="1349"/>
      <c r="S67" s="1349"/>
      <c r="T67" s="170"/>
    </row>
    <row r="68" spans="1:25" s="201" customFormat="1" ht="18.75">
      <c r="A68" s="562">
        <v>460</v>
      </c>
      <c r="B68" s="567">
        <v>602</v>
      </c>
      <c r="C68" s="568" t="s">
        <v>707</v>
      </c>
      <c r="D68" s="99">
        <v>76.504999999999995</v>
      </c>
      <c r="E68" s="231"/>
      <c r="F68" s="1710">
        <v>469</v>
      </c>
      <c r="G68" s="1711" t="s">
        <v>945</v>
      </c>
      <c r="H68" s="1539" t="s">
        <v>1065</v>
      </c>
      <c r="I68" s="1537">
        <v>2919.29</v>
      </c>
      <c r="K68" s="4"/>
      <c r="L68" s="557"/>
      <c r="M68" s="1074"/>
      <c r="N68" s="2229"/>
      <c r="O68" s="2197"/>
      <c r="P68" s="1318"/>
      <c r="Q68" s="1323"/>
      <c r="R68" s="1349"/>
      <c r="S68" s="1349"/>
      <c r="T68" s="1323"/>
    </row>
    <row r="69" spans="1:25" s="201" customFormat="1" ht="20.25" customHeight="1">
      <c r="A69" s="562">
        <v>470</v>
      </c>
      <c r="B69" s="1412" t="s">
        <v>1113</v>
      </c>
      <c r="C69" s="593" t="s">
        <v>1114</v>
      </c>
      <c r="D69" s="225">
        <v>7772.8440000000001</v>
      </c>
      <c r="E69" s="231"/>
      <c r="F69" s="709">
        <v>472</v>
      </c>
      <c r="G69" s="710">
        <v>731</v>
      </c>
      <c r="H69" s="2052" t="s">
        <v>1112</v>
      </c>
      <c r="I69" s="1538">
        <v>1262.5740000000001</v>
      </c>
      <c r="K69" s="4"/>
      <c r="L69" s="793"/>
      <c r="M69" s="1065"/>
      <c r="N69" s="2226"/>
      <c r="O69" s="2197"/>
      <c r="P69" s="1318"/>
      <c r="Q69" s="1323"/>
      <c r="R69" s="1332"/>
      <c r="S69" s="1332"/>
      <c r="T69" s="1323"/>
    </row>
    <row r="70" spans="1:25" s="201" customFormat="1" ht="18.75" customHeight="1">
      <c r="A70" s="562">
        <v>471</v>
      </c>
      <c r="B70" s="563" t="s">
        <v>679</v>
      </c>
      <c r="C70" s="556" t="s">
        <v>708</v>
      </c>
      <c r="D70" s="100">
        <v>11919.366</v>
      </c>
      <c r="E70" s="231"/>
      <c r="F70" s="709">
        <v>474</v>
      </c>
      <c r="G70" s="671">
        <v>732</v>
      </c>
      <c r="H70" s="762" t="s">
        <v>1066</v>
      </c>
      <c r="I70" s="290">
        <v>110.636</v>
      </c>
      <c r="K70" s="4"/>
      <c r="L70" s="555"/>
      <c r="M70" s="1217"/>
      <c r="N70" s="2227"/>
      <c r="O70" s="2197"/>
      <c r="P70" s="1318"/>
      <c r="Q70" s="1323"/>
      <c r="R70" s="1332"/>
      <c r="S70" s="1332"/>
      <c r="T70" s="1323"/>
    </row>
    <row r="71" spans="1:25" s="201" customFormat="1" ht="18.75" thickBot="1">
      <c r="A71" s="571">
        <v>479</v>
      </c>
      <c r="B71" s="572"/>
      <c r="C71" s="573" t="s">
        <v>709</v>
      </c>
      <c r="D71" s="359">
        <f>SUM(D59:D70)</f>
        <v>247547.61400000006</v>
      </c>
      <c r="E71" s="231"/>
      <c r="F71" s="1984">
        <v>476</v>
      </c>
      <c r="G71" s="1988" t="s">
        <v>1078</v>
      </c>
      <c r="H71" s="1931" t="s">
        <v>1069</v>
      </c>
      <c r="I71" s="290">
        <v>608.06700000000001</v>
      </c>
      <c r="K71" s="4"/>
      <c r="L71" s="564">
        <v>479</v>
      </c>
      <c r="M71" s="1218">
        <v>239641.03899999999</v>
      </c>
      <c r="N71" s="2228">
        <f>IF(ISERROR((D71-M71)/M71),0,((D71-M71)/M71))</f>
        <v>3.2993409780701505E-2</v>
      </c>
      <c r="O71" s="2197"/>
      <c r="P71" s="1322"/>
      <c r="Q71" s="1323"/>
      <c r="R71" s="1324"/>
      <c r="S71" s="1332"/>
      <c r="T71" s="1323"/>
    </row>
    <row r="72" spans="1:25" s="201" customFormat="1" ht="19.5" customHeight="1">
      <c r="A72" s="574">
        <v>897</v>
      </c>
      <c r="B72" s="1412" t="s">
        <v>805</v>
      </c>
      <c r="C72" s="556" t="s">
        <v>1115</v>
      </c>
      <c r="D72" s="226">
        <v>1255.222</v>
      </c>
      <c r="E72" s="1969"/>
      <c r="F72" s="709">
        <v>477</v>
      </c>
      <c r="G72" s="671">
        <v>737</v>
      </c>
      <c r="H72" s="762" t="s">
        <v>1067</v>
      </c>
      <c r="I72" s="290">
        <v>0.58699999999999997</v>
      </c>
      <c r="K72" s="4"/>
      <c r="L72" s="1227"/>
      <c r="M72" s="1248"/>
      <c r="N72" s="2225"/>
      <c r="O72" s="2197"/>
      <c r="P72" s="1318"/>
      <c r="Q72" s="1323"/>
      <c r="R72" s="1536"/>
      <c r="S72" s="1332"/>
      <c r="T72" s="1323"/>
    </row>
    <row r="73" spans="1:25" s="201" customFormat="1" ht="18" customHeight="1">
      <c r="A73" s="553">
        <v>899</v>
      </c>
      <c r="B73" s="1413">
        <v>787</v>
      </c>
      <c r="C73" s="568" t="s">
        <v>767</v>
      </c>
      <c r="D73" s="223">
        <v>1592.595</v>
      </c>
      <c r="E73" s="231"/>
      <c r="F73" s="1510" t="s">
        <v>249</v>
      </c>
      <c r="G73" s="671"/>
      <c r="H73" s="762" t="s">
        <v>918</v>
      </c>
      <c r="I73" s="290">
        <v>0.53400000000000003</v>
      </c>
      <c r="J73" s="142"/>
      <c r="K73" s="4"/>
      <c r="L73" s="793"/>
      <c r="M73" s="1065"/>
      <c r="N73" s="2226"/>
      <c r="O73" s="2197"/>
      <c r="P73" s="1318"/>
      <c r="Q73" s="1323"/>
      <c r="R73" s="1332"/>
      <c r="S73" s="1323"/>
      <c r="T73" s="1323"/>
    </row>
    <row r="74" spans="1:25" s="201" customFormat="1" ht="12.75" customHeight="1" thickBot="1">
      <c r="A74" s="571">
        <v>900</v>
      </c>
      <c r="B74" s="575">
        <v>789</v>
      </c>
      <c r="C74" s="576" t="s">
        <v>366</v>
      </c>
      <c r="D74" s="227">
        <v>48.162999999999997</v>
      </c>
      <c r="E74" s="306"/>
      <c r="F74" s="807">
        <v>478</v>
      </c>
      <c r="G74" s="671" t="s">
        <v>777</v>
      </c>
      <c r="H74" s="762" t="s">
        <v>1068</v>
      </c>
      <c r="I74" s="290">
        <v>1915.5930000000001</v>
      </c>
      <c r="K74" s="142"/>
      <c r="L74" s="793"/>
      <c r="M74" s="1065"/>
      <c r="N74" s="2226"/>
      <c r="O74" s="2197"/>
      <c r="P74" s="1318"/>
      <c r="Q74" s="1323"/>
      <c r="R74" s="1323"/>
      <c r="S74" s="1323"/>
      <c r="T74" s="1323"/>
    </row>
    <row r="75" spans="1:25" s="201" customFormat="1" ht="16.5" customHeight="1" thickBot="1">
      <c r="A75" s="566">
        <v>887</v>
      </c>
      <c r="B75" s="567"/>
      <c r="C75" s="577" t="s">
        <v>641</v>
      </c>
      <c r="D75" s="360">
        <f>SUM(D44+D53+D58+D71+D72+D73+D74)</f>
        <v>746882.11</v>
      </c>
      <c r="F75" s="579">
        <v>473</v>
      </c>
      <c r="G75" s="1415" t="s">
        <v>827</v>
      </c>
      <c r="H75" s="1343" t="s">
        <v>1094</v>
      </c>
      <c r="I75" s="291">
        <v>525.56899999999996</v>
      </c>
      <c r="J75" s="142"/>
      <c r="K75" s="4"/>
      <c r="L75" s="550"/>
      <c r="M75" s="1249"/>
      <c r="N75" s="2230"/>
      <c r="O75" s="2197"/>
      <c r="P75" s="1322"/>
      <c r="Q75" s="1282"/>
      <c r="R75" s="1349"/>
      <c r="S75" s="1349"/>
      <c r="T75" s="1323"/>
    </row>
    <row r="76" spans="1:25" s="201" customFormat="1" ht="18" customHeight="1" thickBot="1">
      <c r="A76" s="578" t="s">
        <v>454</v>
      </c>
      <c r="B76" s="565"/>
      <c r="C76" s="539" t="s">
        <v>93</v>
      </c>
      <c r="D76" s="302">
        <f>RR!C8</f>
        <v>746882.11399999994</v>
      </c>
      <c r="E76" s="231"/>
      <c r="F76" s="2197"/>
      <c r="G76" s="2197"/>
      <c r="H76" s="2197"/>
      <c r="I76" s="2197"/>
      <c r="J76" s="2197"/>
      <c r="L76" s="1228"/>
      <c r="M76" s="1229"/>
      <c r="N76" s="2232"/>
      <c r="O76" s="2197"/>
      <c r="P76" s="1318"/>
      <c r="Q76" s="170"/>
      <c r="R76" s="1324"/>
      <c r="S76" s="1324"/>
      <c r="T76" s="170"/>
    </row>
    <row r="77" spans="1:25" s="201" customFormat="1" ht="15.75" customHeight="1">
      <c r="A77" s="2235" t="s">
        <v>1176</v>
      </c>
      <c r="B77" s="1414"/>
      <c r="C77" s="1414"/>
      <c r="D77" s="1683"/>
      <c r="F77" s="2197"/>
      <c r="G77" s="2197"/>
      <c r="H77" s="2197"/>
      <c r="I77" s="2197"/>
      <c r="J77" s="2197"/>
      <c r="K77" s="4"/>
      <c r="O77" s="2197"/>
      <c r="Q77" s="170"/>
      <c r="R77" s="1329"/>
      <c r="S77" s="1329"/>
      <c r="T77" s="170"/>
    </row>
    <row r="78" spans="1:25" s="201" customFormat="1" ht="21" customHeight="1">
      <c r="A78" s="146" t="s">
        <v>828</v>
      </c>
      <c r="B78" s="79"/>
      <c r="C78" s="79"/>
      <c r="D78" s="4"/>
      <c r="F78" s="2197"/>
      <c r="G78" s="2197"/>
      <c r="H78" s="2197"/>
      <c r="I78" s="2197"/>
      <c r="J78" s="2197"/>
      <c r="K78" s="4"/>
      <c r="Q78" s="170"/>
      <c r="R78" s="2496"/>
      <c r="S78" s="2496"/>
      <c r="T78" s="2496"/>
    </row>
    <row r="79" spans="1:25" s="201" customFormat="1" ht="12.75" customHeight="1">
      <c r="A79" s="170"/>
      <c r="B79" s="170"/>
      <c r="C79" s="170"/>
      <c r="D79" s="170"/>
      <c r="F79" s="2197"/>
      <c r="G79" s="2197"/>
      <c r="H79" s="2197"/>
      <c r="I79" s="2197"/>
      <c r="J79" s="2197"/>
      <c r="K79" s="4"/>
      <c r="L79" s="170"/>
      <c r="M79" s="170"/>
      <c r="N79" s="170"/>
      <c r="O79" s="170"/>
      <c r="P79" s="170"/>
      <c r="Q79" s="170"/>
      <c r="R79" s="2496"/>
      <c r="S79" s="2496"/>
      <c r="T79" s="2496"/>
      <c r="U79" s="170"/>
      <c r="V79" s="170"/>
    </row>
    <row r="80" spans="1:25" s="201" customFormat="1" ht="12.75">
      <c r="A80" s="170"/>
      <c r="B80" s="170"/>
      <c r="C80" s="170"/>
      <c r="D80" s="170"/>
      <c r="E80" s="170"/>
      <c r="F80" s="4"/>
      <c r="G80" s="4"/>
      <c r="H80" s="4"/>
      <c r="I80" s="4"/>
      <c r="J80" s="4"/>
      <c r="K80" s="170"/>
      <c r="L80" s="170"/>
      <c r="M80" s="170"/>
      <c r="N80" s="170"/>
      <c r="O80" s="170"/>
      <c r="P80" s="170"/>
      <c r="Q80" s="170"/>
      <c r="R80" s="421"/>
      <c r="S80" s="421"/>
      <c r="T80" s="170"/>
      <c r="U80" s="170"/>
      <c r="V80" s="170"/>
      <c r="W80" s="170"/>
      <c r="X80" s="170"/>
      <c r="Y80" s="170"/>
    </row>
    <row r="81" ht="12.75"/>
    <row r="82" ht="12.75"/>
    <row r="83" ht="12.75"/>
    <row r="84" ht="12.75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/>
    <row r="93" ht="12.75" hidden="1"/>
  </sheetData>
  <sheetProtection algorithmName="SHA-512" hashValue="GWCY1ZTqMFjECktSF7vCt7HiCRfNXa7NpSHetkOhU//LkwFcxz/GoXlR+2bQHtE45zM14ztr5FL18NE4hdeW8w==" saltValue="zdGapmjMxFn/3fq9F1N8Gw==" spinCount="100000" sheet="1" objects="1" scenarios="1"/>
  <mergeCells count="3">
    <mergeCell ref="B6:B7"/>
    <mergeCell ref="B38:B39"/>
    <mergeCell ref="R78:T79"/>
  </mergeCells>
  <conditionalFormatting sqref="I17:I18 I20">
    <cfRule type="cellIs" dxfId="145" priority="21" stopIfTrue="1" operator="lessThan">
      <formula>-500</formula>
    </cfRule>
  </conditionalFormatting>
  <conditionalFormatting sqref="I23">
    <cfRule type="cellIs" dxfId="144" priority="20" stopIfTrue="1" operator="lessThan">
      <formula>-500</formula>
    </cfRule>
  </conditionalFormatting>
  <conditionalFormatting sqref="I57">
    <cfRule type="cellIs" dxfId="143" priority="19" stopIfTrue="1" operator="lessThan">
      <formula>-500</formula>
    </cfRule>
  </conditionalFormatting>
  <conditionalFormatting sqref="I26:I28">
    <cfRule type="cellIs" dxfId="142" priority="18" stopIfTrue="1" operator="lessThan">
      <formula>-500</formula>
    </cfRule>
  </conditionalFormatting>
  <conditionalFormatting sqref="D43 I43:I44">
    <cfRule type="cellIs" dxfId="141" priority="17" stopIfTrue="1" operator="lessThan">
      <formula>0</formula>
    </cfRule>
  </conditionalFormatting>
  <conditionalFormatting sqref="I68">
    <cfRule type="cellIs" dxfId="140" priority="16" stopIfTrue="1" operator="lessThan">
      <formula>-500</formula>
    </cfRule>
  </conditionalFormatting>
  <conditionalFormatting sqref="I68 I39:I45 I47:I48">
    <cfRule type="cellIs" dxfId="139" priority="15" stopIfTrue="1" operator="lessThan">
      <formula>-500</formula>
    </cfRule>
  </conditionalFormatting>
  <conditionalFormatting sqref="D8:D11 D13:D15 D17:D24 D26:D29 I23 I26:I28 D31:D33 D40:D43 D45 D49:D52 D54:D57 D59:D70 D72 D74 I68:I75 I57 I54 I49:I51">
    <cfRule type="cellIs" dxfId="138" priority="14" stopIfTrue="1" operator="lessThan">
      <formula>-500</formula>
    </cfRule>
  </conditionalFormatting>
  <conditionalFormatting sqref="I58">
    <cfRule type="cellIs" dxfId="137" priority="13" stopIfTrue="1" operator="lessThan">
      <formula>-500</formula>
    </cfRule>
  </conditionalFormatting>
  <conditionalFormatting sqref="I58">
    <cfRule type="cellIs" dxfId="136" priority="12" stopIfTrue="1" operator="lessThan">
      <formula>-500</formula>
    </cfRule>
  </conditionalFormatting>
  <conditionalFormatting sqref="I19">
    <cfRule type="cellIs" dxfId="135" priority="11" stopIfTrue="1" operator="lessThan">
      <formula>-500</formula>
    </cfRule>
  </conditionalFormatting>
  <conditionalFormatting sqref="I19">
    <cfRule type="cellIs" dxfId="134" priority="10" stopIfTrue="1" operator="lessThan">
      <formula>-500</formula>
    </cfRule>
  </conditionalFormatting>
  <conditionalFormatting sqref="I24">
    <cfRule type="cellIs" dxfId="133" priority="9" stopIfTrue="1" operator="lessThan">
      <formula>-500</formula>
    </cfRule>
  </conditionalFormatting>
  <conditionalFormatting sqref="I24">
    <cfRule type="cellIs" dxfId="132" priority="8" stopIfTrue="1" operator="lessThan">
      <formula>-500</formula>
    </cfRule>
  </conditionalFormatting>
  <conditionalFormatting sqref="D46">
    <cfRule type="cellIs" dxfId="131" priority="6" stopIfTrue="1" operator="lessThan">
      <formula>-500</formula>
    </cfRule>
  </conditionalFormatting>
  <conditionalFormatting sqref="I46">
    <cfRule type="cellIs" dxfId="130" priority="5" stopIfTrue="1" operator="lessThan">
      <formula>-500</formula>
    </cfRule>
  </conditionalFormatting>
  <conditionalFormatting sqref="I29">
    <cfRule type="cellIs" dxfId="129" priority="4" stopIfTrue="1" operator="lessThan">
      <formula>-500</formula>
    </cfRule>
  </conditionalFormatting>
  <conditionalFormatting sqref="I29">
    <cfRule type="cellIs" dxfId="128" priority="3" stopIfTrue="1" operator="lessThan">
      <formula>-500</formula>
    </cfRule>
  </conditionalFormatting>
  <conditionalFormatting sqref="I31">
    <cfRule type="cellIs" dxfId="127" priority="2" stopIfTrue="1" operator="lessThan">
      <formula>-500</formula>
    </cfRule>
  </conditionalFormatting>
  <conditionalFormatting sqref="I31">
    <cfRule type="cellIs" dxfId="126" priority="1" stopIfTrue="1" operator="lessThan">
      <formula>-500</formula>
    </cfRule>
  </conditionalFormatting>
  <dataValidations count="4">
    <dataValidation type="decimal" operator="lessThan" allowBlank="1" showInputMessage="1" showErrorMessage="1" error="beloppet ska vara 1000tal kr" sqref="I68" xr:uid="{00000000-0002-0000-0300-000000000000}">
      <formula1>99999999</formula1>
    </dataValidation>
    <dataValidation operator="lessThan" allowBlank="1" showInputMessage="1" showErrorMessage="1" sqref="D75 D34" xr:uid="{00000000-0002-0000-0300-000001000000}"/>
    <dataValidation type="decimal" operator="lessThan" allowBlank="1" showInputMessage="1" showErrorMessage="1" error="Beloppet ska vara i 1000 tal kronor" sqref="I17:I20 D54:D57 D40:D43 D17:D24 D26:D29 D13:D15 D8:D11 I54 I69:I75 I57:I58 D31:D33 D59:D70 D72:D74 D48:D52 I23:I24 I39:I51 D45:D46 I26:I29 I31" xr:uid="{00000000-0002-0000-0300-000002000000}">
      <formula1>99999999</formula1>
    </dataValidation>
    <dataValidation type="decimal" operator="lessThanOrEqual" allowBlank="1" showInputMessage="1" showErrorMessage="1" error="Beloppet ska redovisas med minustecken" sqref="D47" xr:uid="{00000000-0002-0000-0300-000003000000}">
      <formula1>0</formula1>
    </dataValidation>
  </dataValidations>
  <pageMargins left="0.7" right="0.7" top="0.75" bottom="0.75" header="0.3" footer="0.3"/>
  <pageSetup paperSize="9" scale="70" orientation="portrait" r:id="rId1"/>
  <headerFooter>
    <oddHeader>&amp;L&amp;8Statistiska Centralbyrån
Offentlig ekonomi&amp;R&amp;P</oddHeader>
  </headerFooter>
  <ignoredErrors>
    <ignoredError sqref="F19:G19 F24 F26:G26 F27:F28 F43:G43 G49:G50 A76 F73 G74 F57:F5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XFC63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9.140625" defaultRowHeight="0" customHeight="1" zeroHeight="1"/>
  <cols>
    <col min="1" max="1" width="4" style="170" customWidth="1"/>
    <col min="2" max="2" width="9.140625" style="170" customWidth="1"/>
    <col min="3" max="3" width="30.85546875" style="170" customWidth="1"/>
    <col min="4" max="4" width="10.5703125" style="170" customWidth="1"/>
    <col min="5" max="5" width="22" style="170" customWidth="1"/>
    <col min="6" max="6" width="5" style="170" customWidth="1"/>
    <col min="7" max="7" width="27.5703125" style="170" customWidth="1"/>
    <col min="8" max="8" width="4" style="170" customWidth="1"/>
    <col min="9" max="9" width="8.42578125" style="170" customWidth="1"/>
    <col min="10" max="10" width="31.42578125" style="170" customWidth="1"/>
    <col min="11" max="12" width="10.5703125" style="170" customWidth="1"/>
    <col min="13" max="13" width="13.42578125" style="170" customWidth="1"/>
    <col min="14" max="14" width="4.42578125" style="170" customWidth="1"/>
    <col min="15" max="15" width="3.5703125" style="170" customWidth="1"/>
    <col min="16" max="16" width="19.5703125" style="170" customWidth="1"/>
    <col min="17" max="17" width="7" style="170" customWidth="1"/>
    <col min="18" max="18" width="3.5703125" style="170" customWidth="1"/>
    <col min="19" max="19" width="1.5703125" style="170" customWidth="1"/>
    <col min="20" max="20" width="21.5703125" style="170" customWidth="1"/>
    <col min="21" max="16383" width="0" style="170" hidden="1" customWidth="1"/>
    <col min="16384" max="16384" width="4.42578125" style="170" hidden="1" customWidth="1"/>
  </cols>
  <sheetData>
    <row r="1" spans="1:20" ht="20.25">
      <c r="A1" s="93" t="str">
        <f>"Skatteintäkter, utjämningssystem o. generella statliga bidrag samt finansiella poster "&amp;År&amp;", miljoner kr"</f>
        <v>Skatteintäkter, utjämningssystem o. generella statliga bidrag samt finansiella poster 2021, miljoner kr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9" t="s">
        <v>457</v>
      </c>
      <c r="O1" s="519"/>
      <c r="P1" s="519"/>
      <c r="Q1" s="519"/>
      <c r="R1" s="519"/>
      <c r="S1" s="519"/>
      <c r="T1" s="2457" t="str">
        <f>Information!A2</f>
        <v>RIKSTOTAL</v>
      </c>
    </row>
    <row r="2" spans="1:20" ht="12.75" customHeight="1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7"/>
      <c r="P2" s="2197"/>
      <c r="Q2" s="2197"/>
      <c r="R2" s="2197"/>
      <c r="S2" s="2197"/>
      <c r="T2" s="2197"/>
    </row>
    <row r="3" spans="1:20" ht="12.75" customHeigh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  <c r="T3" s="2197"/>
    </row>
    <row r="4" spans="1:20" ht="17.25" customHeight="1" thickBot="1">
      <c r="A4" s="74" t="s">
        <v>627</v>
      </c>
      <c r="B4" s="4"/>
      <c r="C4" s="4"/>
      <c r="D4" s="35"/>
      <c r="G4" s="4"/>
      <c r="H4" s="74" t="s">
        <v>628</v>
      </c>
      <c r="I4" s="171"/>
      <c r="J4" s="171"/>
      <c r="K4" s="171"/>
      <c r="L4" s="171"/>
      <c r="M4" s="4"/>
      <c r="N4" s="4"/>
      <c r="O4" s="4"/>
      <c r="P4" s="4"/>
      <c r="Q4" s="4"/>
      <c r="R4" s="4"/>
      <c r="S4" s="172"/>
      <c r="T4" s="4"/>
    </row>
    <row r="5" spans="1:20" s="182" customFormat="1" ht="12.75">
      <c r="A5" s="602" t="s">
        <v>622</v>
      </c>
      <c r="B5" s="2050" t="s">
        <v>1206</v>
      </c>
      <c r="C5" s="808"/>
      <c r="D5" s="814"/>
      <c r="E5" s="181"/>
      <c r="F5" s="181"/>
      <c r="G5" s="181"/>
      <c r="H5" s="602" t="s">
        <v>622</v>
      </c>
      <c r="I5" s="2050" t="s">
        <v>1206</v>
      </c>
      <c r="J5" s="808"/>
      <c r="K5" s="613" t="s">
        <v>624</v>
      </c>
      <c r="L5" s="1916" t="s">
        <v>736</v>
      </c>
      <c r="M5" s="1351"/>
      <c r="N5" s="218" t="s">
        <v>944</v>
      </c>
      <c r="O5" s="181"/>
      <c r="P5" s="181"/>
      <c r="Q5" s="181"/>
      <c r="S5" s="428"/>
      <c r="T5" s="181"/>
    </row>
    <row r="6" spans="1:20" s="182" customFormat="1" ht="12.75">
      <c r="A6" s="604" t="s">
        <v>625</v>
      </c>
      <c r="B6" s="789"/>
      <c r="C6" s="809"/>
      <c r="D6" s="813"/>
      <c r="E6" s="181"/>
      <c r="F6" s="181"/>
      <c r="G6" s="181"/>
      <c r="H6" s="604" t="s">
        <v>625</v>
      </c>
      <c r="I6" s="615"/>
      <c r="J6" s="809"/>
      <c r="K6" s="615" t="s">
        <v>1215</v>
      </c>
      <c r="L6" s="1038" t="s">
        <v>1215</v>
      </c>
      <c r="M6" s="1352"/>
      <c r="N6" s="181"/>
      <c r="O6" s="181"/>
      <c r="P6" s="181"/>
      <c r="Q6" s="181"/>
      <c r="S6" s="89"/>
      <c r="T6" s="181"/>
    </row>
    <row r="7" spans="1:20" ht="15">
      <c r="A7" s="2462"/>
      <c r="B7" s="2463"/>
      <c r="C7" s="810"/>
      <c r="D7" s="815"/>
      <c r="E7" s="4"/>
      <c r="F7" s="4"/>
      <c r="G7" s="4"/>
      <c r="H7" s="816"/>
      <c r="I7" s="597"/>
      <c r="J7" s="597"/>
      <c r="K7" s="597"/>
      <c r="L7" s="817"/>
      <c r="M7" s="1353"/>
      <c r="N7" s="4"/>
      <c r="O7" s="4"/>
      <c r="P7" s="4"/>
      <c r="Q7" s="4"/>
      <c r="S7" s="18"/>
      <c r="T7" s="4"/>
    </row>
    <row r="8" spans="1:20" ht="12.75">
      <c r="A8" s="778">
        <v>600</v>
      </c>
      <c r="B8" s="567">
        <v>801</v>
      </c>
      <c r="C8" s="568" t="s">
        <v>710</v>
      </c>
      <c r="D8" s="361">
        <v>502034</v>
      </c>
      <c r="E8" s="4"/>
      <c r="F8" s="4"/>
      <c r="G8" s="4"/>
      <c r="H8" s="775">
        <v>800</v>
      </c>
      <c r="I8" s="567">
        <v>841</v>
      </c>
      <c r="J8" s="568" t="s">
        <v>723</v>
      </c>
      <c r="K8" s="1701">
        <v>3435.8119999999999</v>
      </c>
      <c r="L8" s="1702">
        <v>1251.3889999999999</v>
      </c>
      <c r="M8" s="1971"/>
      <c r="N8" s="581">
        <v>801</v>
      </c>
      <c r="O8" s="1703">
        <v>8411</v>
      </c>
      <c r="P8" s="1593" t="s">
        <v>946</v>
      </c>
      <c r="Q8" s="1594">
        <v>2851.1559999999999</v>
      </c>
      <c r="R8" s="1675" t="str">
        <f>IF(Q8&gt;K8,"däravrad 801&gt;rad 800",IF(AND(K8&gt;1,Q8=""),"skriv belopp eller 0",""))</f>
        <v/>
      </c>
      <c r="S8" s="1349"/>
      <c r="T8" s="4"/>
    </row>
    <row r="9" spans="1:20" ht="12.75">
      <c r="A9" s="778">
        <v>620</v>
      </c>
      <c r="B9" s="670">
        <v>8052</v>
      </c>
      <c r="C9" s="561" t="str">
        <f>"Slutavräkning, prognos för "&amp;År&amp;""</f>
        <v>Slutavräkning, prognos för 2021</v>
      </c>
      <c r="D9" s="361">
        <v>11902</v>
      </c>
      <c r="E9" s="4"/>
      <c r="F9" s="4"/>
      <c r="G9" s="4"/>
      <c r="H9" s="778">
        <v>810</v>
      </c>
      <c r="I9" s="811">
        <v>844</v>
      </c>
      <c r="J9" s="812" t="s">
        <v>724</v>
      </c>
      <c r="K9" s="23">
        <v>3515.2040000000002</v>
      </c>
      <c r="L9" s="101">
        <v>1339.434</v>
      </c>
      <c r="M9" s="1971"/>
      <c r="N9" s="4"/>
      <c r="O9" s="4"/>
      <c r="P9" s="4"/>
      <c r="Q9" s="4"/>
      <c r="S9" s="1349"/>
      <c r="T9" s="4"/>
    </row>
    <row r="10" spans="1:20" ht="12.75">
      <c r="A10" s="778">
        <v>625</v>
      </c>
      <c r="B10" s="670">
        <v>8051</v>
      </c>
      <c r="C10" s="561" t="str">
        <f>"Justering slutavräkning "&amp;År-1&amp;""</f>
        <v>Justering slutavräkning 2020</v>
      </c>
      <c r="D10" s="361">
        <v>1710</v>
      </c>
      <c r="E10" s="4"/>
      <c r="F10" s="4"/>
      <c r="G10" s="4"/>
      <c r="H10" s="778">
        <v>880</v>
      </c>
      <c r="I10" s="567">
        <v>845</v>
      </c>
      <c r="J10" s="568" t="s">
        <v>725</v>
      </c>
      <c r="K10" s="23">
        <v>48.98</v>
      </c>
      <c r="L10" s="927"/>
      <c r="M10" s="1971"/>
      <c r="N10" s="4"/>
      <c r="O10" s="4"/>
      <c r="P10" s="4"/>
      <c r="Q10" s="4"/>
      <c r="S10" s="1349"/>
      <c r="T10" s="4"/>
    </row>
    <row r="11" spans="1:20" ht="12.75">
      <c r="A11" s="778">
        <v>630</v>
      </c>
      <c r="B11" s="670"/>
      <c r="C11" s="561" t="str">
        <f>"Justeringspost slutavräkning "&amp;År&amp;""</f>
        <v>Justeringspost slutavräkning 2021</v>
      </c>
      <c r="D11" s="226">
        <v>-17.670000000000002</v>
      </c>
      <c r="E11" s="179"/>
      <c r="F11" s="4"/>
      <c r="G11" s="4"/>
      <c r="H11" s="778">
        <v>885</v>
      </c>
      <c r="I11" s="567">
        <v>8481</v>
      </c>
      <c r="J11" s="568" t="s">
        <v>479</v>
      </c>
      <c r="K11" s="23">
        <v>0.93500000000000005</v>
      </c>
      <c r="L11" s="927"/>
      <c r="M11" s="1971"/>
      <c r="N11" s="4"/>
      <c r="O11" s="4"/>
      <c r="P11" s="4"/>
      <c r="Q11" s="4"/>
      <c r="S11" s="1349"/>
      <c r="T11" s="4"/>
    </row>
    <row r="12" spans="1:20" ht="12.75">
      <c r="A12" s="778">
        <v>640</v>
      </c>
      <c r="B12" s="563" t="s">
        <v>960</v>
      </c>
      <c r="C12" s="556" t="s">
        <v>961</v>
      </c>
      <c r="D12" s="226">
        <v>2.032</v>
      </c>
      <c r="E12" s="1374"/>
      <c r="F12" s="4"/>
      <c r="G12" s="4"/>
      <c r="H12" s="778">
        <v>886</v>
      </c>
      <c r="I12" s="567">
        <v>8482</v>
      </c>
      <c r="J12" s="568" t="s">
        <v>737</v>
      </c>
      <c r="K12" s="23">
        <v>22.013999999999999</v>
      </c>
      <c r="L12" s="927"/>
      <c r="M12" s="1971"/>
      <c r="N12" s="1323"/>
      <c r="O12" s="1323"/>
      <c r="P12" s="147"/>
      <c r="Q12" s="1688"/>
      <c r="S12" s="1349"/>
      <c r="T12" s="4"/>
    </row>
    <row r="13" spans="1:20" ht="13.5" thickBot="1">
      <c r="A13" s="779">
        <v>680</v>
      </c>
      <c r="B13" s="1347"/>
      <c r="C13" s="1348" t="s">
        <v>951</v>
      </c>
      <c r="D13" s="358">
        <v>200</v>
      </c>
      <c r="E13" s="35"/>
      <c r="F13" s="4"/>
      <c r="G13" s="4"/>
      <c r="H13" s="778">
        <v>884</v>
      </c>
      <c r="I13" s="563">
        <v>843</v>
      </c>
      <c r="J13" s="556" t="s">
        <v>1195</v>
      </c>
      <c r="K13" s="23">
        <v>354.113</v>
      </c>
      <c r="L13" s="101">
        <v>3405.9409999999998</v>
      </c>
      <c r="M13" s="1971"/>
      <c r="N13" s="1323"/>
      <c r="O13" s="1323"/>
      <c r="P13" s="147"/>
      <c r="Q13" s="1688"/>
      <c r="S13" s="1349"/>
      <c r="T13" s="4"/>
    </row>
    <row r="14" spans="1:20" ht="21.75" customHeight="1" thickBot="1">
      <c r="A14" s="564">
        <v>690</v>
      </c>
      <c r="B14" s="569"/>
      <c r="C14" s="570" t="s">
        <v>627</v>
      </c>
      <c r="D14" s="358">
        <f>SUM(D8:D13)</f>
        <v>515830.36200000002</v>
      </c>
      <c r="E14" s="4"/>
      <c r="F14" s="4"/>
      <c r="G14" s="4"/>
      <c r="H14" s="553">
        <v>882</v>
      </c>
      <c r="I14" s="1412">
        <v>846</v>
      </c>
      <c r="J14" s="556" t="s">
        <v>1194</v>
      </c>
      <c r="K14" s="23">
        <v>6825.7479999999996</v>
      </c>
      <c r="L14" s="927"/>
      <c r="M14" s="1971"/>
      <c r="N14" s="1323"/>
      <c r="O14" s="1323"/>
      <c r="P14" s="147"/>
      <c r="Q14" s="1688"/>
      <c r="R14" s="1374"/>
      <c r="S14" s="1332"/>
      <c r="T14" s="4"/>
    </row>
    <row r="15" spans="1:20" ht="13.5" thickBot="1">
      <c r="A15" s="4"/>
      <c r="B15" s="4"/>
      <c r="C15" s="185"/>
      <c r="D15" s="4"/>
      <c r="E15" s="4"/>
      <c r="F15" s="4"/>
      <c r="G15" s="4"/>
      <c r="H15" s="564">
        <v>888</v>
      </c>
      <c r="I15" s="2074">
        <v>849</v>
      </c>
      <c r="J15" s="576" t="s">
        <v>1128</v>
      </c>
      <c r="K15" s="108">
        <v>1835.298</v>
      </c>
      <c r="L15" s="2058"/>
      <c r="M15" s="1971"/>
      <c r="N15" s="1511">
        <v>889</v>
      </c>
      <c r="O15" s="1511">
        <v>8491</v>
      </c>
      <c r="P15" s="2036" t="s">
        <v>1095</v>
      </c>
      <c r="Q15" s="1487">
        <v>1147.8599999999999</v>
      </c>
      <c r="R15" s="1374" t="str">
        <f>IF(SUM(Q15+Q16)&gt;K15,"däravrader 889+891&gt;rad888",IF(AND(K15&gt;1,Q15=""),"skriv belopp eller 0",""))</f>
        <v/>
      </c>
      <c r="S15" s="1323"/>
      <c r="T15" s="4"/>
    </row>
    <row r="16" spans="1:20" ht="16.5" thickBot="1">
      <c r="A16" s="74" t="s">
        <v>745</v>
      </c>
      <c r="B16" s="4"/>
      <c r="C16" s="4"/>
      <c r="D16" s="4"/>
      <c r="E16" s="4"/>
      <c r="F16" s="4"/>
      <c r="G16" s="4"/>
      <c r="H16" s="550">
        <v>890</v>
      </c>
      <c r="I16" s="565"/>
      <c r="J16" s="539" t="s">
        <v>9</v>
      </c>
      <c r="K16" s="1700">
        <f>RR!C14</f>
        <v>16038.103999999999</v>
      </c>
      <c r="L16" s="1704"/>
      <c r="M16" s="1668"/>
      <c r="N16" s="1512">
        <v>891</v>
      </c>
      <c r="O16" s="1512"/>
      <c r="P16" s="1343" t="s">
        <v>921</v>
      </c>
      <c r="Q16" s="1488">
        <v>3.2000000000000001E-2</v>
      </c>
      <c r="R16" s="1374" t="str">
        <f>IF(AND(K15&gt;1,Q16=""),"skriv belopp eller 0","")</f>
        <v/>
      </c>
      <c r="T16" s="4"/>
    </row>
    <row r="17" spans="1:20" ht="16.5" thickBot="1">
      <c r="A17" s="74" t="s">
        <v>746</v>
      </c>
      <c r="B17" s="4"/>
      <c r="C17" s="4"/>
      <c r="D17" s="35"/>
      <c r="E17" s="4"/>
      <c r="F17" s="4"/>
      <c r="G17" s="4"/>
      <c r="H17" s="8"/>
      <c r="I17" s="1354" t="s">
        <v>1064</v>
      </c>
      <c r="J17" s="126"/>
      <c r="K17" s="1354">
        <f>(K16-SUM(K8:K15))*-1</f>
        <v>1.8189894035458565E-12</v>
      </c>
      <c r="L17" s="1705"/>
      <c r="M17" s="1245"/>
      <c r="N17" s="4"/>
      <c r="O17" s="4"/>
      <c r="P17" s="4"/>
      <c r="Q17" s="4"/>
      <c r="R17" s="4"/>
      <c r="T17" s="4"/>
    </row>
    <row r="18" spans="1:20" ht="16.5" thickBot="1">
      <c r="A18" s="602" t="s">
        <v>622</v>
      </c>
      <c r="B18" s="2050" t="s">
        <v>1206</v>
      </c>
      <c r="C18" s="808"/>
      <c r="D18" s="814"/>
      <c r="E18" s="4"/>
      <c r="F18" s="4"/>
      <c r="G18" s="4"/>
      <c r="H18" s="74" t="s">
        <v>629</v>
      </c>
      <c r="I18" s="172"/>
      <c r="J18" s="172"/>
      <c r="K18" s="172"/>
      <c r="L18" s="172"/>
      <c r="N18" s="2497"/>
      <c r="O18" s="2497"/>
      <c r="P18" s="2497"/>
      <c r="Q18" s="2498"/>
      <c r="R18" s="4"/>
      <c r="T18" s="4"/>
    </row>
    <row r="19" spans="1:20" ht="12.75">
      <c r="A19" s="604" t="s">
        <v>625</v>
      </c>
      <c r="B19" s="789"/>
      <c r="C19" s="612"/>
      <c r="D19" s="818"/>
      <c r="E19" s="4"/>
      <c r="F19" s="4"/>
      <c r="G19" s="4"/>
      <c r="H19" s="602" t="s">
        <v>622</v>
      </c>
      <c r="I19" s="2050" t="s">
        <v>1206</v>
      </c>
      <c r="J19" s="808"/>
      <c r="K19" s="1708" t="s">
        <v>624</v>
      </c>
      <c r="L19" s="1914" t="s">
        <v>736</v>
      </c>
      <c r="M19" s="1323"/>
      <c r="N19" s="2499"/>
      <c r="O19" s="2499"/>
      <c r="P19" s="2499"/>
      <c r="Q19" s="2498"/>
      <c r="S19" s="428"/>
      <c r="T19" s="4"/>
    </row>
    <row r="20" spans="1:20" s="182" customFormat="1" ht="15">
      <c r="A20" s="2461"/>
      <c r="B20" s="2464"/>
      <c r="C20" s="597"/>
      <c r="D20" s="819"/>
      <c r="E20" s="181"/>
      <c r="F20" s="181"/>
      <c r="G20" s="181"/>
      <c r="H20" s="604" t="s">
        <v>625</v>
      </c>
      <c r="I20" s="820"/>
      <c r="J20" s="809"/>
      <c r="K20" s="1709" t="s">
        <v>1215</v>
      </c>
      <c r="L20" s="1915" t="s">
        <v>1215</v>
      </c>
      <c r="M20" s="89"/>
      <c r="Q20" s="207"/>
      <c r="S20" s="89"/>
      <c r="T20" s="181"/>
    </row>
    <row r="21" spans="1:20" s="182" customFormat="1" ht="14.25" customHeight="1">
      <c r="A21" s="553">
        <v>711</v>
      </c>
      <c r="B21" s="670">
        <v>821</v>
      </c>
      <c r="C21" s="561" t="s">
        <v>716</v>
      </c>
      <c r="D21" s="361">
        <v>82235</v>
      </c>
      <c r="E21" s="181"/>
      <c r="F21" s="1990"/>
      <c r="G21" s="1991"/>
      <c r="H21" s="821"/>
      <c r="I21" s="822"/>
      <c r="J21" s="810"/>
      <c r="K21" s="1706"/>
      <c r="L21" s="823"/>
      <c r="M21" s="18"/>
      <c r="N21" s="185"/>
      <c r="O21" s="185"/>
      <c r="P21" s="185"/>
      <c r="Q21" s="172"/>
      <c r="S21" s="18"/>
      <c r="T21" s="181"/>
    </row>
    <row r="22" spans="1:20" ht="14.25" customHeight="1">
      <c r="A22" s="553">
        <v>713</v>
      </c>
      <c r="B22" s="670">
        <v>822</v>
      </c>
      <c r="C22" s="561" t="s">
        <v>717</v>
      </c>
      <c r="D22" s="361">
        <v>1133</v>
      </c>
      <c r="E22" s="4"/>
      <c r="F22" s="1992"/>
      <c r="G22" s="1991"/>
      <c r="H22" s="553">
        <v>900</v>
      </c>
      <c r="I22" s="567">
        <v>852</v>
      </c>
      <c r="J22" s="556" t="s">
        <v>780</v>
      </c>
      <c r="K22" s="452">
        <v>3307.36</v>
      </c>
      <c r="L22" s="100">
        <v>6257.991</v>
      </c>
      <c r="M22" s="1971"/>
      <c r="N22" s="1323"/>
      <c r="O22" s="147"/>
      <c r="P22" s="258"/>
      <c r="Q22" s="126"/>
      <c r="S22" s="1349"/>
      <c r="T22" s="4"/>
    </row>
    <row r="23" spans="1:20" ht="14.25" customHeight="1">
      <c r="A23" s="553">
        <v>715</v>
      </c>
      <c r="B23" s="670">
        <v>823</v>
      </c>
      <c r="C23" s="561" t="s">
        <v>718</v>
      </c>
      <c r="D23" s="361">
        <v>919</v>
      </c>
      <c r="E23" s="201"/>
      <c r="F23" s="1992"/>
      <c r="G23" s="1991"/>
      <c r="H23" s="553">
        <v>910</v>
      </c>
      <c r="I23" s="563">
        <v>853</v>
      </c>
      <c r="J23" s="556" t="s">
        <v>1129</v>
      </c>
      <c r="K23" s="452">
        <v>790.30600000000004</v>
      </c>
      <c r="L23" s="101">
        <v>812.51199999999994</v>
      </c>
      <c r="M23" s="1971"/>
      <c r="N23" s="4"/>
      <c r="O23" s="4"/>
      <c r="P23" s="4"/>
      <c r="Q23" s="172"/>
      <c r="S23" s="1332"/>
      <c r="T23" s="4"/>
    </row>
    <row r="24" spans="1:20" ht="14.25" customHeight="1">
      <c r="A24" s="553">
        <v>717</v>
      </c>
      <c r="B24" s="670">
        <v>824</v>
      </c>
      <c r="C24" s="561" t="s">
        <v>719</v>
      </c>
      <c r="D24" s="361">
        <v>30898</v>
      </c>
      <c r="E24" s="201"/>
      <c r="F24" s="1992"/>
      <c r="G24" s="1991"/>
      <c r="H24" s="553">
        <v>920</v>
      </c>
      <c r="I24" s="811" t="s">
        <v>726</v>
      </c>
      <c r="J24" s="561" t="s">
        <v>1131</v>
      </c>
      <c r="K24" s="452">
        <v>155.982</v>
      </c>
      <c r="L24" s="927"/>
      <c r="M24" s="1971"/>
      <c r="N24" s="4"/>
      <c r="O24" s="4"/>
      <c r="P24" s="4"/>
      <c r="Q24" s="172"/>
      <c r="S24" s="1349"/>
      <c r="T24" s="4"/>
    </row>
    <row r="25" spans="1:20" ht="21" customHeight="1">
      <c r="A25" s="553">
        <v>719</v>
      </c>
      <c r="B25" s="670">
        <v>825</v>
      </c>
      <c r="C25" s="561" t="s">
        <v>720</v>
      </c>
      <c r="D25" s="361">
        <v>9664</v>
      </c>
      <c r="E25" s="201"/>
      <c r="F25" s="2500" t="s">
        <v>1193</v>
      </c>
      <c r="G25" s="2501"/>
      <c r="H25" s="553">
        <v>985</v>
      </c>
      <c r="I25" s="563">
        <v>8581</v>
      </c>
      <c r="J25" s="556" t="s">
        <v>747</v>
      </c>
      <c r="K25" s="452">
        <v>0.96699999999999997</v>
      </c>
      <c r="L25" s="927"/>
      <c r="M25" s="1971"/>
      <c r="N25" s="1323"/>
      <c r="O25" s="1323"/>
      <c r="P25" s="147"/>
      <c r="Q25" s="253"/>
      <c r="S25" s="1332"/>
      <c r="T25" s="4"/>
    </row>
    <row r="26" spans="1:20" ht="22.5" customHeight="1">
      <c r="A26" s="553">
        <v>785</v>
      </c>
      <c r="B26" s="670">
        <v>826</v>
      </c>
      <c r="C26" s="561" t="s">
        <v>721</v>
      </c>
      <c r="D26" s="361">
        <v>4717</v>
      </c>
      <c r="E26" s="1985"/>
      <c r="F26" s="2502"/>
      <c r="G26" s="2501"/>
      <c r="H26" s="553">
        <v>996</v>
      </c>
      <c r="I26" s="563">
        <v>8582</v>
      </c>
      <c r="J26" s="556" t="s">
        <v>748</v>
      </c>
      <c r="K26" s="452">
        <v>2.0270000000000001</v>
      </c>
      <c r="L26" s="927"/>
      <c r="M26" s="1971"/>
      <c r="N26" s="1323"/>
      <c r="O26" s="1323"/>
      <c r="P26" s="147"/>
      <c r="Q26" s="253"/>
      <c r="S26" s="1332"/>
      <c r="T26" s="172"/>
    </row>
    <row r="27" spans="1:20" ht="15.75" customHeight="1">
      <c r="A27" s="553">
        <v>740</v>
      </c>
      <c r="B27" s="563">
        <v>829</v>
      </c>
      <c r="C27" s="561" t="s">
        <v>809</v>
      </c>
      <c r="D27" s="226">
        <v>4851.9319999999998</v>
      </c>
      <c r="E27" s="1999"/>
      <c r="F27" s="2503"/>
      <c r="G27" s="2501"/>
      <c r="H27" s="553">
        <v>984</v>
      </c>
      <c r="I27" s="563">
        <v>851</v>
      </c>
      <c r="J27" s="556" t="s">
        <v>1132</v>
      </c>
      <c r="K27" s="452">
        <v>160.83099999999999</v>
      </c>
      <c r="L27" s="101">
        <v>180.08099999999999</v>
      </c>
      <c r="M27" s="1971"/>
      <c r="N27" s="1323"/>
      <c r="O27" s="1323"/>
      <c r="P27" s="147"/>
      <c r="Q27" s="253"/>
      <c r="S27" s="1332"/>
      <c r="T27" s="172"/>
    </row>
    <row r="28" spans="1:20" ht="20.25" customHeight="1" thickBot="1">
      <c r="A28" s="564">
        <v>750</v>
      </c>
      <c r="B28" s="565">
        <v>82</v>
      </c>
      <c r="C28" s="1344" t="s">
        <v>722</v>
      </c>
      <c r="D28" s="358">
        <f>SUM(D21:D27)</f>
        <v>134417.932</v>
      </c>
      <c r="E28" s="1970"/>
      <c r="F28" s="2143"/>
      <c r="G28" s="2460"/>
      <c r="H28" s="2458">
        <v>992</v>
      </c>
      <c r="I28" s="2012">
        <v>856</v>
      </c>
      <c r="J28" s="556" t="s">
        <v>1133</v>
      </c>
      <c r="K28" s="452">
        <v>839.93600000000004</v>
      </c>
      <c r="L28" s="927"/>
      <c r="M28" s="1971"/>
      <c r="N28" s="1323"/>
      <c r="O28" s="1323"/>
      <c r="P28" s="147"/>
      <c r="Q28" s="253"/>
      <c r="S28" s="1350"/>
      <c r="T28" s="172"/>
    </row>
    <row r="29" spans="1:20" ht="18" customHeight="1" thickBot="1">
      <c r="A29" s="4"/>
      <c r="B29" s="4"/>
      <c r="C29" s="4"/>
      <c r="D29" s="4"/>
      <c r="E29" s="2000"/>
      <c r="F29" s="2143"/>
      <c r="G29" s="2460"/>
      <c r="H29" s="2459">
        <v>998</v>
      </c>
      <c r="I29" s="1347">
        <v>859</v>
      </c>
      <c r="J29" s="1348" t="s">
        <v>1130</v>
      </c>
      <c r="K29" s="1707">
        <v>1763.7</v>
      </c>
      <c r="L29" s="2114"/>
      <c r="M29" s="1971"/>
      <c r="N29" s="172"/>
      <c r="O29" s="172"/>
      <c r="P29" s="172"/>
      <c r="Q29" s="172"/>
      <c r="S29" s="1323"/>
      <c r="T29" s="172"/>
    </row>
    <row r="30" spans="1:20" ht="19.5" customHeight="1" thickBot="1">
      <c r="A30" s="4"/>
      <c r="B30" s="4"/>
      <c r="C30" s="4"/>
      <c r="D30" s="4"/>
      <c r="E30" s="2001"/>
      <c r="F30" s="2197"/>
      <c r="G30" s="2197"/>
      <c r="H30" s="564">
        <v>990</v>
      </c>
      <c r="I30" s="569"/>
      <c r="J30" s="570" t="s">
        <v>10</v>
      </c>
      <c r="K30" s="1477">
        <f>RR!C15</f>
        <v>7021.1090000000004</v>
      </c>
      <c r="L30" s="19"/>
      <c r="N30" s="4"/>
      <c r="O30" s="4"/>
      <c r="P30" s="4"/>
      <c r="Q30" s="4"/>
      <c r="R30" s="172"/>
      <c r="T30" s="172"/>
    </row>
    <row r="31" spans="1:20" ht="16.5" customHeight="1" thickBot="1">
      <c r="A31" s="74" t="s">
        <v>937</v>
      </c>
      <c r="B31" s="4"/>
      <c r="C31" s="4"/>
      <c r="D31" s="35"/>
      <c r="E31" s="201"/>
      <c r="F31" s="2197"/>
      <c r="G31" s="2197"/>
      <c r="H31" s="4"/>
      <c r="I31" s="1355" t="s">
        <v>829</v>
      </c>
      <c r="J31" s="179"/>
      <c r="K31" s="1684">
        <f>(K30-SUM(K22:K29))*-1</f>
        <v>-9.0949470177292824E-13</v>
      </c>
      <c r="L31" s="1263"/>
      <c r="M31" s="1263"/>
      <c r="N31" s="4"/>
      <c r="O31" s="4"/>
      <c r="P31" s="4"/>
      <c r="Q31" s="4"/>
      <c r="R31" s="4"/>
      <c r="T31" s="4"/>
    </row>
    <row r="32" spans="1:20" ht="12.75">
      <c r="A32" s="602" t="s">
        <v>622</v>
      </c>
      <c r="B32" s="2050" t="s">
        <v>1206</v>
      </c>
      <c r="C32" s="808"/>
      <c r="D32" s="814"/>
      <c r="E32" s="201"/>
      <c r="F32" s="2197"/>
      <c r="G32" s="219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2.75">
      <c r="A33" s="604" t="s">
        <v>625</v>
      </c>
      <c r="B33" s="789"/>
      <c r="C33" s="612"/>
      <c r="D33" s="818"/>
      <c r="E33" s="4"/>
      <c r="F33" s="2197"/>
      <c r="G33" s="2197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5">
      <c r="A34" s="2461"/>
      <c r="B34" s="2464"/>
      <c r="C34" s="597"/>
      <c r="D34" s="819"/>
      <c r="E34" s="4"/>
      <c r="F34" s="2197"/>
      <c r="G34" s="2197"/>
      <c r="H34" s="2197"/>
      <c r="I34" s="2197"/>
      <c r="J34" s="2197"/>
      <c r="K34" s="2197"/>
      <c r="L34" s="4"/>
      <c r="M34" s="4"/>
      <c r="R34" s="4"/>
      <c r="S34" s="4"/>
      <c r="T34" s="4"/>
    </row>
    <row r="35" spans="1:20" ht="12.75">
      <c r="A35" s="778">
        <v>760</v>
      </c>
      <c r="B35" s="567">
        <v>831</v>
      </c>
      <c r="C35" s="568" t="s">
        <v>711</v>
      </c>
      <c r="D35" s="361">
        <v>9207</v>
      </c>
      <c r="E35" s="4"/>
      <c r="F35" s="4"/>
      <c r="G35" s="4"/>
      <c r="H35" s="2197"/>
      <c r="I35" s="2197"/>
      <c r="J35" s="2197"/>
      <c r="K35" s="2197"/>
      <c r="L35" s="2057"/>
    </row>
    <row r="36" spans="1:20" ht="12.75">
      <c r="A36" s="778">
        <v>770</v>
      </c>
      <c r="B36" s="567">
        <v>834</v>
      </c>
      <c r="C36" s="568" t="s">
        <v>712</v>
      </c>
      <c r="D36" s="361">
        <v>0</v>
      </c>
      <c r="E36" s="4"/>
      <c r="F36" s="4"/>
      <c r="G36" s="4"/>
      <c r="H36" s="2197"/>
      <c r="I36" s="2197"/>
      <c r="J36" s="2197"/>
      <c r="K36" s="2197"/>
      <c r="L36" s="2057"/>
      <c r="N36" s="4"/>
      <c r="O36" s="4"/>
      <c r="P36" s="4"/>
      <c r="Q36" s="4"/>
    </row>
    <row r="37" spans="1:20" ht="12.75">
      <c r="A37" s="778">
        <v>780</v>
      </c>
      <c r="B37" s="567">
        <v>835</v>
      </c>
      <c r="C37" s="568" t="s">
        <v>713</v>
      </c>
      <c r="D37" s="362">
        <v>9583</v>
      </c>
      <c r="E37" s="4"/>
      <c r="F37" s="4"/>
      <c r="G37" s="4"/>
      <c r="H37" s="2197"/>
      <c r="I37" s="2197"/>
      <c r="J37" s="2197"/>
      <c r="K37" s="2197"/>
      <c r="L37" s="2057"/>
      <c r="M37" s="4"/>
      <c r="N37" s="4"/>
      <c r="O37" s="4"/>
      <c r="P37" s="4"/>
      <c r="Q37" s="4"/>
      <c r="R37" s="4"/>
      <c r="S37" s="4"/>
      <c r="T37" s="4"/>
    </row>
    <row r="38" spans="1:20" ht="12.75">
      <c r="A38" s="778">
        <v>786</v>
      </c>
      <c r="B38" s="567">
        <v>836</v>
      </c>
      <c r="C38" s="568" t="s">
        <v>714</v>
      </c>
      <c r="D38" s="362">
        <v>4717</v>
      </c>
      <c r="E38" s="4"/>
      <c r="F38" s="4"/>
      <c r="G38" s="4"/>
      <c r="H38" s="2197"/>
      <c r="I38" s="2197"/>
      <c r="J38" s="2197"/>
      <c r="K38" s="2197"/>
      <c r="L38" s="2057"/>
      <c r="M38" s="4"/>
      <c r="N38" s="4"/>
      <c r="O38" s="4"/>
      <c r="P38" s="4"/>
      <c r="Q38" s="4"/>
      <c r="R38" s="4"/>
      <c r="S38" s="4"/>
      <c r="T38" s="4"/>
    </row>
    <row r="39" spans="1:20" ht="13.5" thickBot="1">
      <c r="A39" s="779">
        <v>790</v>
      </c>
      <c r="B39" s="824"/>
      <c r="C39" s="1345" t="s">
        <v>715</v>
      </c>
      <c r="D39" s="359">
        <f>SUM(D35:D38)</f>
        <v>23507</v>
      </c>
      <c r="E39" s="3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3.5" thickBot="1">
      <c r="A40" s="232"/>
      <c r="B40" s="17"/>
      <c r="C40" s="18"/>
      <c r="D40" s="19"/>
      <c r="E40" s="3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3.5" thickBot="1">
      <c r="A41" s="786">
        <v>765</v>
      </c>
      <c r="B41" s="825">
        <v>828</v>
      </c>
      <c r="C41" s="1346" t="s">
        <v>778</v>
      </c>
      <c r="D41" s="233">
        <v>20511.492999999999</v>
      </c>
      <c r="E41" s="2181" t="str">
        <f>IF(OR(D41="",D41=0),"Kontrollera Kommunal fastighetsavgift","")</f>
        <v/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2.75" hidden="1">
      <c r="A44" s="4"/>
      <c r="B44" s="4"/>
      <c r="C44" s="4"/>
      <c r="D44" s="4"/>
      <c r="E44" s="4"/>
      <c r="H44" s="4"/>
      <c r="I44" s="4"/>
      <c r="J44" s="4"/>
      <c r="K44" s="4"/>
      <c r="L44" s="4"/>
      <c r="M44" s="4"/>
      <c r="R44" s="4"/>
      <c r="S44" s="4"/>
      <c r="T44" s="4"/>
    </row>
    <row r="45" spans="1:20" ht="12.75" hidden="1" customHeight="1"/>
    <row r="49" s="170" customFormat="1" ht="0" hidden="1" customHeight="1"/>
    <row r="50" s="170" customFormat="1" ht="0" hidden="1" customHeight="1"/>
    <row r="51" s="170" customFormat="1" ht="0" hidden="1" customHeight="1"/>
    <row r="52" s="170" customFormat="1" ht="0" hidden="1" customHeight="1"/>
    <row r="53" s="170" customFormat="1" ht="0" hidden="1" customHeight="1"/>
    <row r="54" s="170" customFormat="1" ht="0" hidden="1" customHeight="1"/>
    <row r="55" s="170" customFormat="1" ht="0" hidden="1" customHeight="1"/>
    <row r="56" s="170" customFormat="1" ht="0" hidden="1" customHeight="1"/>
    <row r="57" s="170" customFormat="1" ht="0" hidden="1" customHeight="1"/>
    <row r="58" s="170" customFormat="1" ht="0" hidden="1" customHeight="1"/>
    <row r="59" s="170" customFormat="1" ht="0" hidden="1" customHeight="1"/>
    <row r="60" s="170" customFormat="1" ht="0" hidden="1" customHeight="1"/>
    <row r="61" s="170" customFormat="1" ht="0" hidden="1" customHeight="1"/>
    <row r="62" s="170" customFormat="1" ht="0" hidden="1" customHeight="1"/>
    <row r="63" s="170" customFormat="1" ht="0" hidden="1" customHeight="1"/>
  </sheetData>
  <sheetProtection algorithmName="SHA-512" hashValue="ptO7YFQrw8y7OauDg/YBy+z+zE0n9QAf/yhgNY505dOab5qIlvOG6WKiG7rZrN5iojkmj69axZQoH9gMqtUCew==" saltValue="BqDbLwQdkyNwWu64et2zsw==" spinCount="100000" sheet="1" objects="1" scenarios="1"/>
  <mergeCells count="2">
    <mergeCell ref="N18:Q19"/>
    <mergeCell ref="F25:G27"/>
  </mergeCells>
  <conditionalFormatting sqref="D27 D41 K22:L28 K8:L15">
    <cfRule type="cellIs" dxfId="125" priority="19" stopIfTrue="1" operator="lessThan">
      <formula>-500</formula>
    </cfRule>
  </conditionalFormatting>
  <conditionalFormatting sqref="K29:L29">
    <cfRule type="cellIs" dxfId="124" priority="17" stopIfTrue="1" operator="lessThan">
      <formula>-500</formula>
    </cfRule>
  </conditionalFormatting>
  <conditionalFormatting sqref="I17">
    <cfRule type="expression" dxfId="123" priority="16" stopIfTrue="1">
      <formula>ABS(K17)&gt;100</formula>
    </cfRule>
  </conditionalFormatting>
  <conditionalFormatting sqref="K17:L17">
    <cfRule type="expression" dxfId="122" priority="15" stopIfTrue="1">
      <formula>ABS(K17)&gt;100</formula>
    </cfRule>
  </conditionalFormatting>
  <conditionalFormatting sqref="I31">
    <cfRule type="expression" dxfId="121" priority="14" stopIfTrue="1">
      <formula>ABS(K31)&gt;100</formula>
    </cfRule>
  </conditionalFormatting>
  <conditionalFormatting sqref="K31:L31">
    <cfRule type="expression" dxfId="120" priority="13" stopIfTrue="1">
      <formula>ABS(K31)&gt;100</formula>
    </cfRule>
  </conditionalFormatting>
  <conditionalFormatting sqref="Q8 Q15">
    <cfRule type="cellIs" dxfId="119" priority="12" stopIfTrue="1" operator="lessThan">
      <formula>-500</formula>
    </cfRule>
  </conditionalFormatting>
  <conditionalFormatting sqref="G29">
    <cfRule type="cellIs" dxfId="118" priority="11" stopIfTrue="1" operator="lessThan">
      <formula>0</formula>
    </cfRule>
  </conditionalFormatting>
  <conditionalFormatting sqref="F21">
    <cfRule type="expression" dxfId="117" priority="20">
      <formula>G27&gt;0</formula>
    </cfRule>
  </conditionalFormatting>
  <conditionalFormatting sqref="F25:G27">
    <cfRule type="expression" dxfId="116" priority="10">
      <formula>SUM(D27-G29)&lt;100</formula>
    </cfRule>
  </conditionalFormatting>
  <conditionalFormatting sqref="Q14">
    <cfRule type="cellIs" dxfId="115" priority="9" stopIfTrue="1" operator="lessThan">
      <formula>-500</formula>
    </cfRule>
  </conditionalFormatting>
  <conditionalFormatting sqref="Q16">
    <cfRule type="cellIs" dxfId="114" priority="8" stopIfTrue="1" operator="lessThan">
      <formula>-500</formula>
    </cfRule>
  </conditionalFormatting>
  <conditionalFormatting sqref="Q27">
    <cfRule type="cellIs" dxfId="113" priority="7" stopIfTrue="1" operator="lessThan">
      <formula>-500</formula>
    </cfRule>
  </conditionalFormatting>
  <conditionalFormatting sqref="Q26">
    <cfRule type="cellIs" dxfId="112" priority="6" stopIfTrue="1" operator="lessThan">
      <formula>-500</formula>
    </cfRule>
  </conditionalFormatting>
  <conditionalFormatting sqref="Q28">
    <cfRule type="cellIs" dxfId="111" priority="5" stopIfTrue="1" operator="lessThan">
      <formula>-500</formula>
    </cfRule>
  </conditionalFormatting>
  <conditionalFormatting sqref="Q13">
    <cfRule type="cellIs" dxfId="110" priority="4" stopIfTrue="1" operator="lessThan">
      <formula>-500</formula>
    </cfRule>
  </conditionalFormatting>
  <conditionalFormatting sqref="Q12">
    <cfRule type="cellIs" dxfId="109" priority="3" stopIfTrue="1" operator="lessThan">
      <formula>-500</formula>
    </cfRule>
  </conditionalFormatting>
  <conditionalFormatting sqref="Q25">
    <cfRule type="cellIs" dxfId="108" priority="2" stopIfTrue="1" operator="lessThan">
      <formula>-500</formula>
    </cfRule>
  </conditionalFormatting>
  <conditionalFormatting sqref="G28">
    <cfRule type="cellIs" dxfId="107" priority="1" stopIfTrue="1" operator="lessThan">
      <formula>0</formula>
    </cfRule>
  </conditionalFormatting>
  <dataValidations disablePrompts="1" count="1">
    <dataValidation type="decimal" operator="lessThan" allowBlank="1" showInputMessage="1" showErrorMessage="1" error="Beloppet ska vara i 1000 tal kronor" sqref="K22:L29 D27 D11:D12 D41 G28:G29 Q8 K8:L15 Q25:Q28 Q12:Q16" xr:uid="{00000000-0002-0000-0400-000000000000}">
      <formula1>99999999</formula1>
    </dataValidation>
  </dataValidations>
  <pageMargins left="0.70866141732283472" right="0.70866141732283472" top="0.74803149606299213" bottom="0.15748031496062992" header="0.31496062992125984" footer="0.31496062992125984"/>
  <pageSetup paperSize="9" scale="80" orientation="landscape" r:id="rId1"/>
  <headerFooter>
    <oddHeader>&amp;L&amp;8Statistiska Centralbyrån
Offentlig ekonomi&amp;R&amp;P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>
    <tabColor rgb="FFFFFF00"/>
    <pageSetUpPr fitToPage="1"/>
  </sheetPr>
  <dimension ref="A1:M119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0" defaultRowHeight="12.75" zeroHeight="1"/>
  <cols>
    <col min="1" max="1" width="4" style="144" customWidth="1"/>
    <col min="2" max="2" width="33.5703125" style="144" customWidth="1"/>
    <col min="3" max="3" width="10.5703125" style="144" customWidth="1"/>
    <col min="4" max="4" width="11.42578125" style="144" customWidth="1"/>
    <col min="5" max="5" width="8.42578125" style="144" customWidth="1"/>
    <col min="6" max="6" width="9" style="144" customWidth="1"/>
    <col min="7" max="7" width="10" style="144" customWidth="1"/>
    <col min="8" max="8" width="10.42578125" style="144" customWidth="1"/>
    <col min="9" max="9" width="34" style="147" customWidth="1"/>
    <col min="10" max="10" width="39.5703125" style="144" customWidth="1"/>
    <col min="11" max="11" width="2.85546875" style="144" customWidth="1"/>
    <col min="12" max="12" width="4.140625" style="170" customWidth="1"/>
    <col min="13" max="13" width="3" style="170" customWidth="1"/>
    <col min="14" max="16384" width="9.140625" style="170" hidden="1"/>
  </cols>
  <sheetData>
    <row r="1" spans="1:13" s="234" customFormat="1" ht="20.25">
      <c r="A1" s="77" t="str">
        <f>"Investeringsredovisning "&amp;År&amp;", miljoner kr"</f>
        <v>Investeringsredovisning 2021, miljoner kr</v>
      </c>
      <c r="B1" s="94"/>
      <c r="C1" s="94"/>
      <c r="D1" s="94"/>
      <c r="E1" s="95"/>
      <c r="F1" s="95"/>
      <c r="G1" s="514" t="s">
        <v>457</v>
      </c>
      <c r="H1" s="515" t="str">
        <f>Information!A2</f>
        <v>RIKSTOTAL</v>
      </c>
      <c r="I1" s="159"/>
      <c r="J1" s="96">
        <v>1</v>
      </c>
      <c r="K1" s="96"/>
      <c r="L1" s="96"/>
      <c r="M1" s="96"/>
    </row>
    <row r="2" spans="1:13" s="234" customFormat="1" ht="12.75" customHeight="1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  <c r="L2" s="2197"/>
      <c r="M2" s="2197"/>
    </row>
    <row r="3" spans="1:13" s="234" customFormat="1" ht="12.75" customHeight="1" thickBo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  <c r="L3" s="2197"/>
      <c r="M3" s="2197"/>
    </row>
    <row r="4" spans="1:13" s="234" customFormat="1" ht="43.5" customHeight="1">
      <c r="A4" s="826" t="s">
        <v>475</v>
      </c>
      <c r="B4" s="827"/>
      <c r="C4" s="2504" t="s">
        <v>998</v>
      </c>
      <c r="D4" s="2504" t="s">
        <v>999</v>
      </c>
      <c r="E4" s="2504" t="s">
        <v>1000</v>
      </c>
      <c r="F4" s="1714" t="s">
        <v>1001</v>
      </c>
      <c r="G4" s="1917" t="s">
        <v>1002</v>
      </c>
      <c r="H4" s="1918" t="s">
        <v>1003</v>
      </c>
      <c r="I4" s="68"/>
      <c r="J4" s="43"/>
      <c r="K4" s="235"/>
      <c r="L4" s="235"/>
    </row>
    <row r="5" spans="1:13" s="234" customFormat="1" ht="39.75" customHeight="1">
      <c r="A5" s="828"/>
      <c r="B5" s="829"/>
      <c r="C5" s="2505"/>
      <c r="D5" s="2505"/>
      <c r="E5" s="2505"/>
      <c r="F5" s="1715" t="s">
        <v>781</v>
      </c>
      <c r="G5" s="1716"/>
      <c r="H5" s="1713"/>
      <c r="I5" s="88"/>
      <c r="J5" s="1329"/>
      <c r="K5" s="235"/>
      <c r="L5" s="235"/>
    </row>
    <row r="6" spans="1:13" s="237" customFormat="1" ht="19.5" customHeight="1">
      <c r="A6" s="583" t="s">
        <v>480</v>
      </c>
      <c r="B6" s="584" t="s">
        <v>368</v>
      </c>
      <c r="C6" s="351">
        <v>587215.53599999996</v>
      </c>
      <c r="D6" s="351">
        <v>31517.263999999999</v>
      </c>
      <c r="E6" s="351">
        <v>304333.745</v>
      </c>
      <c r="F6" s="1717">
        <v>77061.02</v>
      </c>
      <c r="G6" s="1718">
        <v>1453811.7590000001</v>
      </c>
      <c r="H6" s="1283">
        <v>45996.02</v>
      </c>
      <c r="I6" s="2133"/>
      <c r="J6" s="1329"/>
      <c r="K6" s="236"/>
      <c r="L6" s="236"/>
    </row>
    <row r="7" spans="1:13" s="237" customFormat="1" ht="19.5" customHeight="1">
      <c r="A7" s="585" t="s">
        <v>481</v>
      </c>
      <c r="B7" s="2253" t="s">
        <v>910</v>
      </c>
      <c r="C7" s="242">
        <v>64951.925999999999</v>
      </c>
      <c r="D7" s="243">
        <v>8411.7369999999992</v>
      </c>
      <c r="E7" s="244">
        <v>4501.7039999999997</v>
      </c>
      <c r="F7" s="1719">
        <v>1825.99</v>
      </c>
      <c r="G7" s="1802">
        <v>154028.77600000001</v>
      </c>
      <c r="H7" s="1844">
        <v>3197.1170000000002</v>
      </c>
      <c r="I7" s="1972"/>
      <c r="J7" s="2134" t="str">
        <f>IFERROR(IF(AND(I6&lt;1.5,I6&gt;0.5),"Kontrollera beloppet i kol E. OBS! Internbankens nyupplåning för vidareutlåning ska inte ingå här utan på rad 994, Övriga förändringar",""),IF(F7&gt;E7,"Rad 987: därav-Kol.F&gt;Kol.E",IF(SUM(C7+D7)&gt;G7,"Koncern kol G, borde vara större än kommunen, kol C+D","")))</f>
        <v/>
      </c>
      <c r="K7" s="236"/>
      <c r="L7" s="236"/>
    </row>
    <row r="8" spans="1:13" s="237" customFormat="1" ht="17.25" customHeight="1">
      <c r="A8" s="587" t="s">
        <v>482</v>
      </c>
      <c r="B8" s="586" t="s">
        <v>1031</v>
      </c>
      <c r="C8" s="242">
        <v>-6647.2359999999999</v>
      </c>
      <c r="D8" s="243">
        <v>-326.24400000000003</v>
      </c>
      <c r="E8" s="244">
        <v>-6356.4279999999999</v>
      </c>
      <c r="F8" s="1719">
        <v>-322.03399999999999</v>
      </c>
      <c r="G8" s="1802">
        <v>-17889.192999999999</v>
      </c>
      <c r="H8" s="1844">
        <v>-1428.5050000000001</v>
      </c>
      <c r="I8" s="1894"/>
      <c r="J8" s="2048" t="str">
        <f>IF(F8&lt;E8,"Rad 988: därav-kol.F&lt;Kol.E","")</f>
        <v/>
      </c>
      <c r="K8" s="236"/>
      <c r="L8" s="236"/>
    </row>
    <row r="9" spans="1:13" s="237" customFormat="1" ht="20.25" customHeight="1">
      <c r="A9" s="587" t="s">
        <v>483</v>
      </c>
      <c r="B9" s="586" t="s">
        <v>492</v>
      </c>
      <c r="C9" s="312">
        <v>2976.3159999999998</v>
      </c>
      <c r="D9" s="243">
        <v>204.983</v>
      </c>
      <c r="E9" s="244">
        <v>1732.865</v>
      </c>
      <c r="F9" s="1719">
        <v>114.14</v>
      </c>
      <c r="G9" s="1802">
        <v>9959.2720000000008</v>
      </c>
      <c r="H9" s="1844">
        <v>174.126</v>
      </c>
      <c r="I9" s="1972"/>
      <c r="J9" s="2047" t="str">
        <f>IF(F9&gt;E9,"Rad 989: därav-kol.F&gt;kol.E","")</f>
        <v/>
      </c>
      <c r="K9" s="236"/>
      <c r="L9" s="236"/>
    </row>
    <row r="10" spans="1:13" s="237" customFormat="1" ht="21" customHeight="1">
      <c r="A10" s="587" t="s">
        <v>355</v>
      </c>
      <c r="B10" s="586" t="s">
        <v>1051</v>
      </c>
      <c r="C10" s="312">
        <v>-1236.107</v>
      </c>
      <c r="D10" s="243">
        <v>-149.98599999999999</v>
      </c>
      <c r="E10" s="244">
        <v>-33.911000000000001</v>
      </c>
      <c r="F10" s="1719">
        <v>-0.81399999999999995</v>
      </c>
      <c r="G10" s="1802">
        <v>-2458.6579999999999</v>
      </c>
      <c r="H10" s="1844">
        <v>-36.499000000000002</v>
      </c>
      <c r="I10" s="1972"/>
      <c r="J10" s="2047" t="str">
        <f>IF(F10&lt;E10,"Rad 990: därav-kol.F&lt;Kol.E","")</f>
        <v/>
      </c>
      <c r="K10" s="236"/>
      <c r="L10" s="236"/>
    </row>
    <row r="11" spans="1:13" s="237" customFormat="1" ht="15" customHeight="1">
      <c r="A11" s="587" t="s">
        <v>356</v>
      </c>
      <c r="B11" s="586" t="s">
        <v>353</v>
      </c>
      <c r="C11" s="242">
        <v>-23740.621999999999</v>
      </c>
      <c r="D11" s="243">
        <v>-6525.7479999999996</v>
      </c>
      <c r="E11" s="1479">
        <v>-0.16800000000000001</v>
      </c>
      <c r="F11" s="1720">
        <v>-9.4E-2</v>
      </c>
      <c r="G11" s="1802">
        <v>-64080.142999999996</v>
      </c>
      <c r="H11" s="1844">
        <v>-2.7410000000000001</v>
      </c>
      <c r="I11" s="1894"/>
      <c r="J11" s="1998"/>
      <c r="K11" s="236"/>
      <c r="L11" s="236"/>
    </row>
    <row r="12" spans="1:13" s="237" customFormat="1" ht="15" customHeight="1">
      <c r="A12" s="587" t="s">
        <v>357</v>
      </c>
      <c r="B12" s="586" t="s">
        <v>153</v>
      </c>
      <c r="C12" s="245">
        <v>-472.03399999999999</v>
      </c>
      <c r="D12" s="246">
        <v>-87.991</v>
      </c>
      <c r="E12" s="54">
        <v>-126.68300000000001</v>
      </c>
      <c r="F12" s="1538">
        <v>-63.167999999999999</v>
      </c>
      <c r="G12" s="1802">
        <v>-1269.0830000000001</v>
      </c>
      <c r="H12" s="1844">
        <v>-184.36799999999999</v>
      </c>
      <c r="I12" s="2126"/>
      <c r="J12" s="2511"/>
      <c r="K12" s="2512"/>
      <c r="L12" s="2512"/>
      <c r="M12" s="2512"/>
    </row>
    <row r="13" spans="1:13" s="237" customFormat="1" ht="19.5" customHeight="1">
      <c r="A13" s="588" t="s">
        <v>358</v>
      </c>
      <c r="B13" s="2253" t="s">
        <v>1211</v>
      </c>
      <c r="C13" s="242">
        <v>433.39699999999999</v>
      </c>
      <c r="D13" s="243">
        <v>881.928</v>
      </c>
      <c r="E13" s="244">
        <v>-1679.229</v>
      </c>
      <c r="F13" s="1719">
        <v>-339.233</v>
      </c>
      <c r="G13" s="1802">
        <v>473.52600000000001</v>
      </c>
      <c r="H13" s="1844">
        <v>-975.79899999999998</v>
      </c>
      <c r="I13" s="2130"/>
      <c r="J13" s="2512"/>
      <c r="K13" s="2512"/>
      <c r="L13" s="2512"/>
      <c r="M13" s="2512"/>
    </row>
    <row r="14" spans="1:13" s="237" customFormat="1" ht="13.5" customHeight="1">
      <c r="A14" s="587" t="s">
        <v>359</v>
      </c>
      <c r="B14" s="586" t="s">
        <v>354</v>
      </c>
      <c r="C14" s="242">
        <v>9886.3729999999996</v>
      </c>
      <c r="D14" s="243">
        <v>671.65599999999995</v>
      </c>
      <c r="E14" s="244">
        <v>9352.1319999999996</v>
      </c>
      <c r="F14" s="1719">
        <v>639.21699999999998</v>
      </c>
      <c r="G14" s="1802">
        <v>3902.4789999999998</v>
      </c>
      <c r="H14" s="1844">
        <v>-3480.0439999999999</v>
      </c>
      <c r="I14" s="2131"/>
      <c r="J14" s="2512"/>
      <c r="K14" s="2512"/>
      <c r="L14" s="2512"/>
      <c r="M14" s="2512"/>
    </row>
    <row r="15" spans="1:13" s="237" customFormat="1" ht="12" thickBot="1">
      <c r="A15" s="589" t="s">
        <v>360</v>
      </c>
      <c r="B15" s="590" t="s">
        <v>369</v>
      </c>
      <c r="C15" s="294">
        <f>BR!D10</f>
        <v>633367.549</v>
      </c>
      <c r="D15" s="295">
        <f>BR!D11</f>
        <v>34597.599000000002</v>
      </c>
      <c r="E15" s="295">
        <f>BR!D17</f>
        <v>311724.02799999999</v>
      </c>
      <c r="F15" s="1721">
        <f>BR!D13</f>
        <v>78915.024000000005</v>
      </c>
      <c r="G15" s="1722">
        <f>BR!E12</f>
        <v>1536478.7350000001</v>
      </c>
      <c r="H15" s="1712">
        <f>BR!E17</f>
        <v>43259.307000000001</v>
      </c>
      <c r="I15" s="1480"/>
      <c r="J15" s="2512"/>
      <c r="K15" s="2512"/>
      <c r="L15" s="2512"/>
      <c r="M15" s="2512"/>
    </row>
    <row r="16" spans="1:13" s="237" customFormat="1" ht="37.5" customHeight="1">
      <c r="A16" s="60"/>
      <c r="B16" s="59"/>
      <c r="C16" s="141"/>
      <c r="D16" s="141"/>
      <c r="E16" s="141"/>
      <c r="F16" s="141"/>
      <c r="G16" s="1803"/>
      <c r="H16" s="1804"/>
      <c r="I16" s="2197"/>
      <c r="J16" s="2197"/>
      <c r="K16" s="2197"/>
      <c r="L16" s="2197"/>
    </row>
    <row r="17" spans="1:12" ht="12.75" customHeight="1">
      <c r="A17" s="281"/>
      <c r="B17" s="201"/>
      <c r="C17" s="43"/>
      <c r="D17" s="43"/>
      <c r="E17" s="43"/>
      <c r="F17" s="43"/>
      <c r="G17" s="1801"/>
      <c r="H17" s="1801"/>
      <c r="I17" s="45"/>
      <c r="J17" s="45"/>
      <c r="K17" s="4"/>
      <c r="L17" s="171"/>
    </row>
    <row r="18" spans="1:12" ht="25.5" customHeight="1">
      <c r="A18" s="1501" t="s">
        <v>1218</v>
      </c>
      <c r="B18" s="1500"/>
      <c r="C18" s="1500"/>
      <c r="D18" s="1500"/>
      <c r="E18" s="1500"/>
      <c r="F18" s="1500"/>
      <c r="G18" s="1500"/>
      <c r="H18" s="1500"/>
      <c r="I18" s="1500"/>
      <c r="J18" s="1500"/>
      <c r="K18" s="2129"/>
      <c r="L18" s="2129"/>
    </row>
    <row r="19" spans="1:12" s="239" customFormat="1" ht="22.5" customHeight="1" thickBot="1">
      <c r="A19" s="1473" t="s">
        <v>1167</v>
      </c>
      <c r="B19" s="238"/>
      <c r="C19" s="61"/>
      <c r="D19" s="62"/>
      <c r="E19" s="63"/>
      <c r="F19" s="63"/>
      <c r="G19" s="63"/>
      <c r="H19" s="63"/>
      <c r="I19" s="160"/>
      <c r="J19" s="158"/>
      <c r="K19" s="64"/>
      <c r="L19" s="238"/>
    </row>
    <row r="20" spans="1:12" ht="14.25" customHeight="1">
      <c r="A20" s="830" t="s">
        <v>622</v>
      </c>
      <c r="B20" s="831" t="s">
        <v>15</v>
      </c>
      <c r="C20" s="1474" t="s">
        <v>915</v>
      </c>
      <c r="D20" s="832" t="s">
        <v>172</v>
      </c>
      <c r="E20" s="833"/>
      <c r="F20" s="833"/>
      <c r="G20" s="1857"/>
      <c r="H20" s="1858"/>
      <c r="I20" s="39"/>
      <c r="J20" s="39"/>
      <c r="K20" s="44"/>
      <c r="L20" s="4"/>
    </row>
    <row r="21" spans="1:12" ht="27.75" customHeight="1">
      <c r="A21" s="834" t="s">
        <v>625</v>
      </c>
      <c r="B21" s="790"/>
      <c r="C21" s="1475" t="s">
        <v>916</v>
      </c>
      <c r="D21" s="1472" t="s">
        <v>983</v>
      </c>
      <c r="E21" s="1472" t="s">
        <v>913</v>
      </c>
      <c r="F21" s="1845" t="s">
        <v>914</v>
      </c>
      <c r="G21" s="1859"/>
      <c r="H21" s="1860"/>
      <c r="I21" s="8"/>
      <c r="J21" s="65"/>
      <c r="K21" s="44"/>
      <c r="L21" s="4"/>
    </row>
    <row r="22" spans="1:12">
      <c r="A22" s="834"/>
      <c r="B22" s="836"/>
      <c r="C22" s="837"/>
      <c r="D22" s="835" t="s">
        <v>984</v>
      </c>
      <c r="E22" s="886" t="s">
        <v>173</v>
      </c>
      <c r="F22" s="1846" t="s">
        <v>174</v>
      </c>
      <c r="G22" s="1861"/>
      <c r="H22" s="1862"/>
      <c r="I22" s="8"/>
      <c r="J22" s="65"/>
      <c r="K22" s="44"/>
      <c r="L22" s="4"/>
    </row>
    <row r="23" spans="1:12" ht="36" customHeight="1">
      <c r="A23" s="838"/>
      <c r="B23" s="839"/>
      <c r="C23" s="840"/>
      <c r="D23" s="1588" t="s">
        <v>987</v>
      </c>
      <c r="E23" s="1589" t="s">
        <v>985</v>
      </c>
      <c r="F23" s="1847" t="s">
        <v>986</v>
      </c>
      <c r="G23" s="1863"/>
      <c r="H23" s="1525"/>
      <c r="I23" s="8"/>
      <c r="J23" s="8"/>
      <c r="K23" s="44"/>
      <c r="L23" s="4"/>
    </row>
    <row r="24" spans="1:12">
      <c r="A24" s="841"/>
      <c r="B24" s="842" t="s">
        <v>16</v>
      </c>
      <c r="C24" s="843"/>
      <c r="D24" s="843"/>
      <c r="E24" s="843"/>
      <c r="F24" s="1848"/>
      <c r="G24" s="1864"/>
      <c r="H24" s="1865"/>
      <c r="I24" s="161"/>
      <c r="J24" s="162"/>
      <c r="K24" s="163"/>
      <c r="L24" s="163"/>
    </row>
    <row r="25" spans="1:12">
      <c r="A25" s="1945" t="s">
        <v>216</v>
      </c>
      <c r="B25" s="595" t="s">
        <v>17</v>
      </c>
      <c r="C25" s="247">
        <v>79.403000000000006</v>
      </c>
      <c r="D25" s="247">
        <v>30.446000000000002</v>
      </c>
      <c r="E25" s="247">
        <v>6.1760000000000002</v>
      </c>
      <c r="F25" s="1849">
        <v>33.374000000000002</v>
      </c>
      <c r="G25" s="1878"/>
      <c r="H25" s="1866"/>
      <c r="I25" s="309"/>
      <c r="J25" s="309"/>
      <c r="K25" s="310"/>
      <c r="L25" s="179"/>
    </row>
    <row r="26" spans="1:12" ht="18.75">
      <c r="A26" s="844" t="s">
        <v>217</v>
      </c>
      <c r="B26" s="598" t="s">
        <v>1055</v>
      </c>
      <c r="C26" s="20">
        <v>6141.817</v>
      </c>
      <c r="D26" s="20">
        <v>4711.0619999999999</v>
      </c>
      <c r="E26" s="20">
        <v>92.956000000000003</v>
      </c>
      <c r="F26" s="452">
        <v>1142.8969999999999</v>
      </c>
      <c r="G26" s="1878"/>
      <c r="H26" s="1866"/>
      <c r="I26" s="309"/>
      <c r="J26" s="309"/>
      <c r="K26" s="310"/>
      <c r="L26" s="179"/>
    </row>
    <row r="27" spans="1:12">
      <c r="A27" s="587" t="s">
        <v>347</v>
      </c>
      <c r="B27" s="556" t="s">
        <v>175</v>
      </c>
      <c r="C27" s="20">
        <v>78.802000000000007</v>
      </c>
      <c r="D27" s="20">
        <v>57.795999999999999</v>
      </c>
      <c r="E27" s="20">
        <v>7.7679999999999998</v>
      </c>
      <c r="F27" s="452">
        <v>6.0869999999999997</v>
      </c>
      <c r="G27" s="1878"/>
      <c r="H27" s="1866"/>
      <c r="I27" s="309"/>
      <c r="J27" s="309"/>
      <c r="K27" s="310"/>
      <c r="L27" s="179"/>
    </row>
    <row r="28" spans="1:12">
      <c r="A28" s="587" t="s">
        <v>220</v>
      </c>
      <c r="B28" s="556" t="s">
        <v>845</v>
      </c>
      <c r="C28" s="20">
        <v>14900.28</v>
      </c>
      <c r="D28" s="20">
        <v>13422.888000000001</v>
      </c>
      <c r="E28" s="20">
        <v>223.56899999999999</v>
      </c>
      <c r="F28" s="452">
        <v>167.65</v>
      </c>
      <c r="G28" s="1878"/>
      <c r="H28" s="1866"/>
      <c r="I28" s="309"/>
      <c r="J28" s="309"/>
      <c r="K28" s="310"/>
      <c r="L28" s="179"/>
    </row>
    <row r="29" spans="1:12">
      <c r="A29" s="587" t="s">
        <v>221</v>
      </c>
      <c r="B29" s="556" t="s">
        <v>18</v>
      </c>
      <c r="C29" s="20">
        <v>1991.4960000000001</v>
      </c>
      <c r="D29" s="20">
        <v>1572.9749999999999</v>
      </c>
      <c r="E29" s="20">
        <v>133.91800000000001</v>
      </c>
      <c r="F29" s="452">
        <v>61.902000000000001</v>
      </c>
      <c r="G29" s="1878"/>
      <c r="H29" s="1866"/>
      <c r="I29" s="309"/>
      <c r="J29" s="309"/>
      <c r="K29" s="310"/>
      <c r="L29" s="179"/>
    </row>
    <row r="30" spans="1:12">
      <c r="A30" s="587" t="s">
        <v>348</v>
      </c>
      <c r="B30" s="556" t="s">
        <v>177</v>
      </c>
      <c r="C30" s="20">
        <v>158.995</v>
      </c>
      <c r="D30" s="20">
        <v>137.12299999999999</v>
      </c>
      <c r="E30" s="20">
        <v>12.553000000000001</v>
      </c>
      <c r="F30" s="452">
        <v>1.2589999999999999</v>
      </c>
      <c r="G30" s="1878"/>
      <c r="H30" s="1866"/>
      <c r="I30" s="309"/>
      <c r="J30" s="309"/>
      <c r="K30" s="310"/>
      <c r="L30" s="179"/>
    </row>
    <row r="31" spans="1:12">
      <c r="A31" s="587" t="s">
        <v>225</v>
      </c>
      <c r="B31" s="556" t="s">
        <v>19</v>
      </c>
      <c r="C31" s="20">
        <v>483.33300000000003</v>
      </c>
      <c r="D31" s="20">
        <v>219.28399999999999</v>
      </c>
      <c r="E31" s="20">
        <v>226.38499999999999</v>
      </c>
      <c r="F31" s="452">
        <v>1.03</v>
      </c>
      <c r="G31" s="1878"/>
      <c r="H31" s="1866"/>
      <c r="I31" s="309"/>
      <c r="J31" s="309"/>
      <c r="K31" s="310"/>
      <c r="L31" s="179"/>
    </row>
    <row r="32" spans="1:12">
      <c r="A32" s="587" t="s">
        <v>226</v>
      </c>
      <c r="B32" s="556" t="s">
        <v>178</v>
      </c>
      <c r="C32" s="20">
        <v>108.134</v>
      </c>
      <c r="D32" s="20">
        <v>39.945</v>
      </c>
      <c r="E32" s="20">
        <v>59.911999999999999</v>
      </c>
      <c r="F32" s="452">
        <v>6.6260000000000003</v>
      </c>
      <c r="G32" s="1878"/>
      <c r="H32" s="1866"/>
      <c r="I32" s="309"/>
      <c r="J32" s="309"/>
      <c r="K32" s="310"/>
      <c r="L32" s="179"/>
    </row>
    <row r="33" spans="1:12">
      <c r="A33" s="594" t="s">
        <v>227</v>
      </c>
      <c r="B33" s="595" t="s">
        <v>179</v>
      </c>
      <c r="C33" s="365">
        <f>SUM(C26:C32)</f>
        <v>23862.856999999996</v>
      </c>
      <c r="D33" s="365">
        <f>SUM(D26:D32)</f>
        <v>20161.072999999997</v>
      </c>
      <c r="E33" s="365">
        <f>SUM(E26:E32)</f>
        <v>757.06100000000004</v>
      </c>
      <c r="F33" s="1850">
        <f>SUM(F26:F32)</f>
        <v>1387.451</v>
      </c>
      <c r="G33" s="1878"/>
      <c r="H33" s="1866"/>
      <c r="I33" s="309"/>
      <c r="J33" s="309"/>
      <c r="K33" s="311"/>
      <c r="L33" s="179"/>
    </row>
    <row r="34" spans="1:12">
      <c r="A34" s="596" t="s">
        <v>237</v>
      </c>
      <c r="B34" s="597" t="s">
        <v>180</v>
      </c>
      <c r="C34" s="248">
        <v>7391.2439999999997</v>
      </c>
      <c r="D34" s="248">
        <v>5912.8590000000004</v>
      </c>
      <c r="E34" s="248">
        <v>583.91899999999998</v>
      </c>
      <c r="F34" s="1851">
        <v>605.71799999999996</v>
      </c>
      <c r="G34" s="1878"/>
      <c r="H34" s="1866"/>
      <c r="I34" s="309"/>
      <c r="J34" s="309"/>
      <c r="K34" s="310"/>
      <c r="L34" s="179"/>
    </row>
    <row r="35" spans="1:12" ht="18.75">
      <c r="A35" s="845" t="s">
        <v>243</v>
      </c>
      <c r="B35" s="1246" t="s">
        <v>756</v>
      </c>
      <c r="C35" s="247">
        <v>5833.643</v>
      </c>
      <c r="D35" s="247">
        <v>5088.9660000000003</v>
      </c>
      <c r="E35" s="247">
        <v>253.691</v>
      </c>
      <c r="F35" s="1849">
        <v>231.77600000000001</v>
      </c>
      <c r="G35" s="1878"/>
      <c r="H35" s="1866"/>
      <c r="I35" s="309"/>
      <c r="J35" s="309"/>
      <c r="K35" s="310"/>
      <c r="L35" s="179"/>
    </row>
    <row r="36" spans="1:12">
      <c r="A36" s="591"/>
      <c r="B36" s="592" t="s">
        <v>181</v>
      </c>
      <c r="C36" s="846"/>
      <c r="D36" s="846"/>
      <c r="E36" s="846"/>
      <c r="F36" s="1852"/>
      <c r="G36" s="1878"/>
      <c r="H36" s="1866"/>
      <c r="I36" s="309"/>
      <c r="J36" s="309"/>
      <c r="K36" s="310"/>
      <c r="L36" s="179"/>
    </row>
    <row r="37" spans="1:12">
      <c r="A37" s="585" t="s">
        <v>393</v>
      </c>
      <c r="B37" s="593" t="s">
        <v>744</v>
      </c>
      <c r="C37" s="20">
        <v>10618.987999999999</v>
      </c>
      <c r="D37" s="20">
        <v>8584.2360000000008</v>
      </c>
      <c r="E37" s="20">
        <v>1268.232</v>
      </c>
      <c r="F37" s="452">
        <v>234.155</v>
      </c>
      <c r="G37" s="1878"/>
      <c r="H37" s="1866"/>
      <c r="I37" s="309"/>
      <c r="J37" s="309"/>
      <c r="K37" s="310"/>
      <c r="L37" s="179"/>
    </row>
    <row r="38" spans="1:12">
      <c r="A38" s="587" t="s">
        <v>349</v>
      </c>
      <c r="B38" s="556" t="s">
        <v>182</v>
      </c>
      <c r="C38" s="20">
        <v>2201.1379999999999</v>
      </c>
      <c r="D38" s="20">
        <v>1614.0150000000001</v>
      </c>
      <c r="E38" s="20">
        <v>348.697</v>
      </c>
      <c r="F38" s="452">
        <v>170.16499999999999</v>
      </c>
      <c r="G38" s="1878"/>
      <c r="H38" s="1866"/>
      <c r="I38" s="309"/>
      <c r="J38" s="309"/>
      <c r="K38" s="310"/>
      <c r="L38" s="179"/>
    </row>
    <row r="39" spans="1:12">
      <c r="A39" s="585" t="s">
        <v>350</v>
      </c>
      <c r="B39" s="556" t="s">
        <v>20</v>
      </c>
      <c r="C39" s="20">
        <v>141.53899999999999</v>
      </c>
      <c r="D39" s="20">
        <v>67.022999999999996</v>
      </c>
      <c r="E39" s="20">
        <v>63.585999999999999</v>
      </c>
      <c r="F39" s="452">
        <v>5.46</v>
      </c>
      <c r="G39" s="1878"/>
      <c r="H39" s="1866"/>
      <c r="I39" s="309"/>
      <c r="J39" s="309"/>
      <c r="K39" s="310"/>
      <c r="L39" s="310"/>
    </row>
    <row r="40" spans="1:12">
      <c r="A40" s="594" t="s">
        <v>252</v>
      </c>
      <c r="B40" s="595" t="s">
        <v>21</v>
      </c>
      <c r="C40" s="365">
        <f>SUM(C37:C39)</f>
        <v>12961.665000000001</v>
      </c>
      <c r="D40" s="365">
        <f>SUM(D37:D39)</f>
        <v>10265.273999999999</v>
      </c>
      <c r="E40" s="365">
        <f>SUM(E37:E39)</f>
        <v>1680.5150000000001</v>
      </c>
      <c r="F40" s="1850">
        <f>SUM(F37:F39)</f>
        <v>409.78</v>
      </c>
      <c r="G40" s="1878"/>
      <c r="H40" s="1866"/>
      <c r="I40" s="309"/>
      <c r="J40" s="309"/>
      <c r="K40" s="310"/>
      <c r="L40" s="310"/>
    </row>
    <row r="41" spans="1:12">
      <c r="A41" s="596" t="s">
        <v>253</v>
      </c>
      <c r="B41" s="597" t="s">
        <v>183</v>
      </c>
      <c r="C41" s="365">
        <f>C35+C40</f>
        <v>18795.308000000001</v>
      </c>
      <c r="D41" s="365">
        <f>D35+D40</f>
        <v>15354.24</v>
      </c>
      <c r="E41" s="365">
        <f>E35+E40</f>
        <v>1934.2060000000001</v>
      </c>
      <c r="F41" s="1853">
        <f>F35+F40</f>
        <v>641.55600000000004</v>
      </c>
      <c r="G41" s="1878"/>
      <c r="H41" s="1866"/>
      <c r="I41" s="309"/>
      <c r="J41" s="309"/>
      <c r="K41" s="310"/>
      <c r="L41" s="310"/>
    </row>
    <row r="42" spans="1:12" ht="18.75">
      <c r="A42" s="583" t="s">
        <v>254</v>
      </c>
      <c r="B42" s="598" t="s">
        <v>184</v>
      </c>
      <c r="C42" s="20">
        <v>9.7840000000000007</v>
      </c>
      <c r="D42" s="20">
        <v>2.097</v>
      </c>
      <c r="E42" s="20">
        <v>4.0549999999999997</v>
      </c>
      <c r="F42" s="452">
        <v>1.4730000000000001</v>
      </c>
      <c r="G42" s="1878"/>
      <c r="H42" s="1866"/>
      <c r="I42" s="309"/>
      <c r="J42" s="309"/>
      <c r="K42" s="310"/>
      <c r="L42" s="310"/>
    </row>
    <row r="43" spans="1:12">
      <c r="A43" s="599" t="s">
        <v>255</v>
      </c>
      <c r="B43" s="556" t="s">
        <v>100</v>
      </c>
      <c r="C43" s="20">
        <v>191.25299999999999</v>
      </c>
      <c r="D43" s="20">
        <v>118.765</v>
      </c>
      <c r="E43" s="20">
        <v>33.917999999999999</v>
      </c>
      <c r="F43" s="452">
        <v>27.881</v>
      </c>
      <c r="G43" s="1878"/>
      <c r="H43" s="1866"/>
      <c r="I43" s="309"/>
      <c r="J43" s="309"/>
      <c r="K43" s="310"/>
      <c r="L43" s="179"/>
    </row>
    <row r="44" spans="1:12">
      <c r="A44" s="587" t="s">
        <v>435</v>
      </c>
      <c r="B44" s="600" t="s">
        <v>487</v>
      </c>
      <c r="C44" s="490">
        <v>2663.9589999999998</v>
      </c>
      <c r="D44" s="20">
        <v>1570.0809999999999</v>
      </c>
      <c r="E44" s="20">
        <v>503.51499999999999</v>
      </c>
      <c r="F44" s="452">
        <v>490.08600000000001</v>
      </c>
      <c r="G44" s="1878"/>
      <c r="H44" s="1866"/>
      <c r="I44" s="309"/>
      <c r="J44" s="309"/>
      <c r="K44" s="310"/>
      <c r="L44" s="179"/>
    </row>
    <row r="45" spans="1:12" ht="18.75">
      <c r="A45" s="587" t="s">
        <v>499</v>
      </c>
      <c r="B45" s="593" t="s">
        <v>500</v>
      </c>
      <c r="C45" s="490">
        <v>900.827</v>
      </c>
      <c r="D45" s="20">
        <v>663.31200000000001</v>
      </c>
      <c r="E45" s="20">
        <v>138.23699999999999</v>
      </c>
      <c r="F45" s="452">
        <v>41.067</v>
      </c>
      <c r="G45" s="1878"/>
      <c r="H45" s="1866"/>
      <c r="I45" s="309"/>
      <c r="J45" s="309"/>
      <c r="K45" s="310"/>
      <c r="L45" s="179"/>
    </row>
    <row r="46" spans="1:12">
      <c r="A46" s="587" t="s">
        <v>351</v>
      </c>
      <c r="B46" s="556" t="s">
        <v>185</v>
      </c>
      <c r="C46" s="20">
        <v>216.63</v>
      </c>
      <c r="D46" s="20">
        <v>105.887</v>
      </c>
      <c r="E46" s="20">
        <v>44.404000000000003</v>
      </c>
      <c r="F46" s="452">
        <v>50.131999999999998</v>
      </c>
      <c r="G46" s="1878"/>
      <c r="H46" s="1866"/>
      <c r="I46" s="309"/>
      <c r="J46" s="309"/>
      <c r="K46" s="310"/>
      <c r="L46" s="179"/>
    </row>
    <row r="47" spans="1:12">
      <c r="A47" s="594" t="s">
        <v>352</v>
      </c>
      <c r="B47" s="847" t="s">
        <v>186</v>
      </c>
      <c r="C47" s="365">
        <f>SUM(C42:C46)</f>
        <v>3982.4529999999995</v>
      </c>
      <c r="D47" s="365">
        <f>SUM(D42:D46)</f>
        <v>2460.1420000000003</v>
      </c>
      <c r="E47" s="365">
        <f>SUM(E42:E46)</f>
        <v>724.12899999999991</v>
      </c>
      <c r="F47" s="1850">
        <f>SUM(F42:F46)</f>
        <v>610.63900000000001</v>
      </c>
      <c r="G47" s="1878"/>
      <c r="H47" s="1866"/>
      <c r="I47" s="309"/>
      <c r="J47" s="309"/>
      <c r="K47" s="311"/>
      <c r="L47" s="179"/>
    </row>
    <row r="48" spans="1:12">
      <c r="A48" s="596" t="s">
        <v>260</v>
      </c>
      <c r="B48" s="597" t="s">
        <v>187</v>
      </c>
      <c r="C48" s="248">
        <v>60.582999999999998</v>
      </c>
      <c r="D48" s="248">
        <v>26.562999999999999</v>
      </c>
      <c r="E48" s="248">
        <v>17.283999999999999</v>
      </c>
      <c r="F48" s="1851">
        <v>14.706</v>
      </c>
      <c r="G48" s="1878"/>
      <c r="H48" s="1866"/>
      <c r="I48" s="309"/>
      <c r="J48" s="309"/>
      <c r="K48" s="310"/>
      <c r="L48" s="179"/>
    </row>
    <row r="49" spans="1:12">
      <c r="A49" s="845" t="s">
        <v>261</v>
      </c>
      <c r="B49" s="595" t="s">
        <v>22</v>
      </c>
      <c r="C49" s="365">
        <f>SUM(C25,C33,C34,C41,C47,C48)</f>
        <v>54171.847999999991</v>
      </c>
      <c r="D49" s="365">
        <f>SUM(D25,D33,D34,D41,D47,D48)</f>
        <v>43945.322999999997</v>
      </c>
      <c r="E49" s="365">
        <f>SUM(E25,E33,E34,E41,E47,E48)</f>
        <v>4022.7750000000001</v>
      </c>
      <c r="F49" s="1854">
        <f>SUM(F25,F33,F34,F41,F47,F48)</f>
        <v>3293.4440000000004</v>
      </c>
      <c r="G49" s="1878"/>
      <c r="H49" s="1866"/>
      <c r="I49" s="309"/>
      <c r="J49" s="309"/>
      <c r="K49" s="310"/>
      <c r="L49" s="179"/>
    </row>
    <row r="50" spans="1:12" ht="27.75">
      <c r="A50" s="844" t="s">
        <v>262</v>
      </c>
      <c r="B50" s="593" t="s">
        <v>1192</v>
      </c>
      <c r="C50" s="20">
        <v>1402.63</v>
      </c>
      <c r="D50" s="20">
        <v>1082.1859999999999</v>
      </c>
      <c r="E50" s="20">
        <v>21.396000000000001</v>
      </c>
      <c r="F50" s="452">
        <v>158.16200000000001</v>
      </c>
      <c r="G50" s="1878"/>
      <c r="H50" s="1866"/>
      <c r="I50" s="309"/>
      <c r="J50" s="309"/>
      <c r="K50" s="310"/>
      <c r="L50" s="179"/>
    </row>
    <row r="51" spans="1:12">
      <c r="A51" s="599" t="s">
        <v>263</v>
      </c>
      <c r="B51" s="568" t="s">
        <v>23</v>
      </c>
      <c r="C51" s="20">
        <v>748.577</v>
      </c>
      <c r="D51" s="20">
        <v>637.29600000000005</v>
      </c>
      <c r="E51" s="20">
        <v>42.503</v>
      </c>
      <c r="F51" s="452">
        <v>36.741</v>
      </c>
      <c r="G51" s="1878"/>
      <c r="H51" s="1866"/>
      <c r="I51" s="309"/>
      <c r="J51" s="309"/>
      <c r="K51" s="310"/>
      <c r="L51" s="179"/>
    </row>
    <row r="52" spans="1:12">
      <c r="A52" s="599" t="s">
        <v>264</v>
      </c>
      <c r="B52" s="568" t="s">
        <v>24</v>
      </c>
      <c r="C52" s="20">
        <v>722.53399999999999</v>
      </c>
      <c r="D52" s="20">
        <v>453.31400000000002</v>
      </c>
      <c r="E52" s="20">
        <v>166.167</v>
      </c>
      <c r="F52" s="452">
        <v>75.257000000000005</v>
      </c>
      <c r="G52" s="1878"/>
      <c r="H52" s="1866"/>
      <c r="I52" s="309"/>
      <c r="J52" s="309"/>
      <c r="K52" s="310"/>
      <c r="L52" s="179"/>
    </row>
    <row r="53" spans="1:12">
      <c r="A53" s="599" t="s">
        <v>265</v>
      </c>
      <c r="B53" s="568" t="s">
        <v>25</v>
      </c>
      <c r="C53" s="20">
        <v>2178.828</v>
      </c>
      <c r="D53" s="20">
        <v>2079.7510000000002</v>
      </c>
      <c r="E53" s="20">
        <v>23.965</v>
      </c>
      <c r="F53" s="452">
        <v>26.552</v>
      </c>
      <c r="G53" s="1878"/>
      <c r="H53" s="1866"/>
      <c r="I53" s="309"/>
      <c r="J53" s="309"/>
      <c r="K53" s="310"/>
      <c r="L53" s="179"/>
    </row>
    <row r="54" spans="1:12">
      <c r="A54" s="848" t="s">
        <v>266</v>
      </c>
      <c r="B54" s="849" t="s">
        <v>26</v>
      </c>
      <c r="C54" s="365">
        <f>SUM(C50:C53)</f>
        <v>5052.5690000000004</v>
      </c>
      <c r="D54" s="365">
        <f>SUM(D50:D53)</f>
        <v>4252.5470000000005</v>
      </c>
      <c r="E54" s="365">
        <f>SUM(E50:E53)</f>
        <v>254.03100000000001</v>
      </c>
      <c r="F54" s="1850">
        <f>SUM(F50:F53)</f>
        <v>296.71200000000005</v>
      </c>
      <c r="G54" s="1878"/>
      <c r="H54" s="1866"/>
      <c r="I54" s="309"/>
      <c r="J54" s="309"/>
      <c r="K54" s="311"/>
      <c r="L54" s="179"/>
    </row>
    <row r="55" spans="1:12" ht="18.75">
      <c r="A55" s="583" t="s">
        <v>267</v>
      </c>
      <c r="B55" s="850" t="s">
        <v>188</v>
      </c>
      <c r="C55" s="20">
        <v>16.202999999999999</v>
      </c>
      <c r="D55" s="20">
        <v>3.9660000000000002</v>
      </c>
      <c r="E55" s="20">
        <v>9.7579999999999991</v>
      </c>
      <c r="F55" s="452">
        <v>2.0409999999999999</v>
      </c>
      <c r="G55" s="1878"/>
      <c r="H55" s="1866"/>
      <c r="I55" s="309"/>
      <c r="J55" s="309"/>
      <c r="K55" s="310"/>
      <c r="L55" s="179"/>
    </row>
    <row r="56" spans="1:12">
      <c r="A56" s="599" t="s">
        <v>268</v>
      </c>
      <c r="B56" s="607" t="s">
        <v>844</v>
      </c>
      <c r="C56" s="20">
        <v>141.37899999999999</v>
      </c>
      <c r="D56" s="20">
        <v>130.88300000000001</v>
      </c>
      <c r="E56" s="20">
        <v>3.012</v>
      </c>
      <c r="F56" s="452">
        <v>2.2530000000000001</v>
      </c>
      <c r="G56" s="1878"/>
      <c r="H56" s="1866"/>
      <c r="I56" s="309"/>
      <c r="J56" s="309"/>
      <c r="K56" s="310"/>
      <c r="L56" s="179"/>
    </row>
    <row r="57" spans="1:12">
      <c r="A57" s="599" t="s">
        <v>269</v>
      </c>
      <c r="B57" s="851" t="s">
        <v>27</v>
      </c>
      <c r="C57" s="20">
        <v>5.1920000000000002</v>
      </c>
      <c r="D57" s="20">
        <v>1.4470000000000001</v>
      </c>
      <c r="E57" s="20">
        <v>2.5019999999999998</v>
      </c>
      <c r="F57" s="452">
        <v>0.438</v>
      </c>
      <c r="G57" s="1878"/>
      <c r="H57" s="1866"/>
      <c r="I57" s="309"/>
      <c r="J57" s="309"/>
      <c r="K57" s="310"/>
      <c r="L57" s="179"/>
    </row>
    <row r="58" spans="1:12">
      <c r="A58" s="848" t="s">
        <v>270</v>
      </c>
      <c r="B58" s="597" t="s">
        <v>28</v>
      </c>
      <c r="C58" s="365">
        <f>SUM(C55:C57)</f>
        <v>162.774</v>
      </c>
      <c r="D58" s="365">
        <f>SUM(D55:D57)</f>
        <v>136.29600000000002</v>
      </c>
      <c r="E58" s="365">
        <f>SUM(E55:E57)</f>
        <v>15.271999999999998</v>
      </c>
      <c r="F58" s="1850">
        <f>SUM(F55:F57)</f>
        <v>4.7320000000000002</v>
      </c>
      <c r="G58" s="1878"/>
      <c r="H58" s="1866"/>
      <c r="I58" s="309"/>
      <c r="J58" s="309"/>
      <c r="K58" s="311"/>
      <c r="L58" s="179"/>
    </row>
    <row r="59" spans="1:12" ht="18.75">
      <c r="A59" s="583" t="s">
        <v>271</v>
      </c>
      <c r="B59" s="598" t="s">
        <v>189</v>
      </c>
      <c r="C59" s="20">
        <v>149.33699999999999</v>
      </c>
      <c r="D59" s="20">
        <v>106.873</v>
      </c>
      <c r="E59" s="20">
        <v>18.984999999999999</v>
      </c>
      <c r="F59" s="452">
        <v>3.4750000000000001</v>
      </c>
      <c r="G59" s="1878"/>
      <c r="H59" s="1866"/>
      <c r="I59" s="309"/>
      <c r="J59" s="309"/>
      <c r="K59" s="310"/>
      <c r="L59" s="179"/>
    </row>
    <row r="60" spans="1:12">
      <c r="A60" s="599" t="s">
        <v>272</v>
      </c>
      <c r="B60" s="568" t="s">
        <v>29</v>
      </c>
      <c r="C60" s="20">
        <v>11.163</v>
      </c>
      <c r="D60" s="20">
        <v>9.98</v>
      </c>
      <c r="E60" s="20">
        <v>1.1080000000000001</v>
      </c>
      <c r="F60" s="452">
        <v>1.4999999999999999E-2</v>
      </c>
      <c r="G60" s="1878"/>
      <c r="H60" s="1866"/>
      <c r="I60" s="309"/>
      <c r="J60" s="309"/>
      <c r="K60" s="310"/>
      <c r="L60" s="179"/>
    </row>
    <row r="61" spans="1:12">
      <c r="A61" s="599" t="s">
        <v>273</v>
      </c>
      <c r="B61" s="568" t="s">
        <v>30</v>
      </c>
      <c r="C61" s="20">
        <v>8850.76</v>
      </c>
      <c r="D61" s="20">
        <v>7333.643</v>
      </c>
      <c r="E61" s="20">
        <v>201.76</v>
      </c>
      <c r="F61" s="452">
        <v>358.03500000000003</v>
      </c>
      <c r="G61" s="1878"/>
      <c r="H61" s="1866"/>
      <c r="I61" s="309"/>
      <c r="J61" s="309"/>
      <c r="K61" s="310"/>
      <c r="L61" s="179"/>
    </row>
    <row r="62" spans="1:12">
      <c r="A62" s="599" t="s">
        <v>274</v>
      </c>
      <c r="B62" s="568" t="s">
        <v>31</v>
      </c>
      <c r="C62" s="20">
        <v>387.255</v>
      </c>
      <c r="D62" s="20">
        <v>184.94399999999999</v>
      </c>
      <c r="E62" s="20">
        <v>162.77199999999999</v>
      </c>
      <c r="F62" s="452">
        <v>12.929</v>
      </c>
      <c r="G62" s="1878"/>
      <c r="H62" s="1866"/>
      <c r="I62" s="309"/>
      <c r="J62" s="309"/>
      <c r="K62" s="310"/>
      <c r="L62" s="179"/>
    </row>
    <row r="63" spans="1:12">
      <c r="A63" s="848" t="s">
        <v>275</v>
      </c>
      <c r="B63" s="597" t="s">
        <v>190</v>
      </c>
      <c r="C63" s="365">
        <f>SUM(C59:C62)</f>
        <v>9398.5149999999994</v>
      </c>
      <c r="D63" s="365">
        <f>SUM(D59:D62)</f>
        <v>7635.4400000000005</v>
      </c>
      <c r="E63" s="365">
        <f>SUM(E59:E62)</f>
        <v>384.625</v>
      </c>
      <c r="F63" s="1850">
        <f>SUM(F59:F62)</f>
        <v>374.45400000000001</v>
      </c>
      <c r="G63" s="1878"/>
      <c r="H63" s="1866"/>
      <c r="I63" s="309"/>
      <c r="J63" s="309"/>
      <c r="K63" s="311"/>
      <c r="L63" s="179"/>
    </row>
    <row r="64" spans="1:12">
      <c r="A64" s="845" t="s">
        <v>276</v>
      </c>
      <c r="B64" s="595" t="s">
        <v>32</v>
      </c>
      <c r="C64" s="365">
        <f>SUM(C54,C58,C63)</f>
        <v>14613.858</v>
      </c>
      <c r="D64" s="365">
        <f>SUM(D54,D58,D63)</f>
        <v>12024.283000000001</v>
      </c>
      <c r="E64" s="365">
        <f>SUM(E54,E58,E63)</f>
        <v>653.928</v>
      </c>
      <c r="F64" s="1854">
        <f>SUM(F54,F58,F63)</f>
        <v>675.89800000000014</v>
      </c>
      <c r="G64" s="1878"/>
      <c r="H64" s="1866"/>
      <c r="I64" s="309"/>
      <c r="J64" s="309"/>
      <c r="K64" s="310"/>
      <c r="L64" s="179"/>
    </row>
    <row r="65" spans="1:13" ht="13.5" thickBot="1">
      <c r="A65" s="852" t="s">
        <v>279</v>
      </c>
      <c r="B65" s="853" t="s">
        <v>34</v>
      </c>
      <c r="C65" s="249">
        <v>4684.8959999999997</v>
      </c>
      <c r="D65" s="249">
        <v>1842.221</v>
      </c>
      <c r="E65" s="249">
        <v>2075.1619999999998</v>
      </c>
      <c r="F65" s="1855">
        <v>419.51400000000001</v>
      </c>
      <c r="G65" s="1878"/>
      <c r="H65" s="1866"/>
      <c r="I65" s="309"/>
      <c r="J65" s="309"/>
      <c r="K65" s="310"/>
      <c r="L65" s="179"/>
    </row>
    <row r="66" spans="1:13" ht="27" customHeight="1" thickBot="1">
      <c r="A66" s="854" t="s">
        <v>280</v>
      </c>
      <c r="B66" s="675" t="s">
        <v>35</v>
      </c>
      <c r="C66" s="369">
        <f>SUM(C49,C64,C65)</f>
        <v>73470.601999999984</v>
      </c>
      <c r="D66" s="369">
        <f>SUM(D49,D64,D65)</f>
        <v>57811.826999999997</v>
      </c>
      <c r="E66" s="369">
        <f>SUM(E49,E64,E65)</f>
        <v>6751.8649999999998</v>
      </c>
      <c r="F66" s="1856">
        <f>SUM(F49,F64,F65)</f>
        <v>4388.8560000000007</v>
      </c>
      <c r="G66" s="1878"/>
      <c r="H66" s="1866"/>
      <c r="I66" s="1222"/>
      <c r="J66" s="1460"/>
      <c r="K66" s="1230"/>
      <c r="L66" s="179"/>
    </row>
    <row r="67" spans="1:13" ht="10.5" customHeight="1">
      <c r="A67" s="300"/>
      <c r="B67" s="18"/>
      <c r="C67" s="72"/>
      <c r="D67" s="72"/>
      <c r="E67" s="72"/>
      <c r="F67" s="72"/>
      <c r="G67" s="2197"/>
      <c r="H67" s="2197"/>
      <c r="I67" s="2197"/>
      <c r="J67" s="2197"/>
      <c r="K67" s="2197"/>
      <c r="L67" s="4"/>
    </row>
    <row r="68" spans="1:13" ht="25.5" customHeight="1">
      <c r="A68" s="300"/>
      <c r="B68" s="18"/>
      <c r="C68" s="72"/>
      <c r="D68" s="72"/>
      <c r="E68" s="72"/>
      <c r="F68" s="72"/>
      <c r="G68" s="2197"/>
      <c r="H68" s="2197"/>
      <c r="I68" s="2197"/>
      <c r="J68" s="2197"/>
      <c r="K68" s="2197"/>
      <c r="L68" s="1868"/>
    </row>
    <row r="69" spans="1:13" ht="31.5" customHeight="1">
      <c r="A69" s="300"/>
      <c r="B69" s="18"/>
      <c r="C69" s="72"/>
      <c r="D69" s="72"/>
      <c r="E69" s="72"/>
      <c r="F69" s="72"/>
      <c r="G69" s="2197"/>
      <c r="H69" s="2197"/>
      <c r="I69" s="2197"/>
      <c r="J69" s="2197"/>
      <c r="K69" s="2197"/>
      <c r="L69" s="1868"/>
      <c r="M69" s="1242"/>
    </row>
    <row r="70" spans="1:13" ht="28.5" customHeight="1">
      <c r="A70" s="2506" t="s">
        <v>1168</v>
      </c>
      <c r="B70" s="2507"/>
      <c r="C70" s="2508"/>
      <c r="D70" s="2508"/>
      <c r="E70" s="2508"/>
      <c r="F70" s="2508"/>
      <c r="G70" s="72"/>
      <c r="H70" s="1305"/>
      <c r="I70" s="1843"/>
      <c r="J70" s="1843"/>
      <c r="K70" s="1843"/>
      <c r="L70" s="1843"/>
      <c r="M70" s="1242"/>
    </row>
    <row r="71" spans="1:13">
      <c r="A71" s="1727" t="s">
        <v>1007</v>
      </c>
      <c r="B71" s="1363"/>
      <c r="C71" s="142"/>
      <c r="D71" s="69"/>
      <c r="F71" s="70"/>
      <c r="G71" s="71"/>
      <c r="H71" s="240"/>
      <c r="I71" s="1843"/>
      <c r="J71" s="1843"/>
      <c r="K71" s="1843"/>
      <c r="L71" s="1843"/>
      <c r="M71" s="1242"/>
    </row>
    <row r="72" spans="1:13" ht="32.25" customHeight="1" thickBot="1">
      <c r="A72" s="1723" t="s">
        <v>1048</v>
      </c>
      <c r="B72" s="88"/>
      <c r="C72" s="1329"/>
      <c r="D72" s="39"/>
      <c r="E72" s="1240"/>
      <c r="F72" s="1241"/>
      <c r="G72" s="1241"/>
      <c r="H72" s="1241"/>
      <c r="I72" s="1867"/>
      <c r="J72" s="1867"/>
      <c r="K72" s="1867"/>
      <c r="L72" s="1867"/>
      <c r="M72" s="1242"/>
    </row>
    <row r="73" spans="1:13" ht="27">
      <c r="A73" s="1725" t="s">
        <v>1004</v>
      </c>
      <c r="B73" s="2182" t="s">
        <v>1005</v>
      </c>
      <c r="C73" s="1747"/>
      <c r="D73" s="146"/>
      <c r="E73" s="1241"/>
      <c r="F73" s="1241"/>
      <c r="G73" s="1897"/>
      <c r="H73" s="1241"/>
      <c r="I73" s="1897"/>
      <c r="J73" s="286"/>
      <c r="K73" s="286"/>
      <c r="L73" s="286"/>
      <c r="M73" s="1242"/>
    </row>
    <row r="74" spans="1:13" ht="15" customHeight="1">
      <c r="A74" s="1941" t="s">
        <v>421</v>
      </c>
      <c r="B74" s="1919" t="s">
        <v>1006</v>
      </c>
      <c r="C74" s="223">
        <v>1706.8689999999999</v>
      </c>
      <c r="D74" s="1909"/>
      <c r="E74" s="1241"/>
      <c r="F74" s="1241"/>
      <c r="G74" s="1869"/>
      <c r="H74" s="174"/>
      <c r="I74" s="174"/>
      <c r="J74" s="174"/>
      <c r="K74" s="174"/>
      <c r="L74" s="174"/>
      <c r="M74" s="1242"/>
    </row>
    <row r="75" spans="1:13" ht="13.5" thickBot="1">
      <c r="A75" s="1942">
        <v>705</v>
      </c>
      <c r="B75" s="2254" t="s">
        <v>1209</v>
      </c>
      <c r="C75" s="227">
        <v>13386.218000000001</v>
      </c>
      <c r="D75" s="1909"/>
      <c r="E75" s="1241"/>
      <c r="F75" s="1241"/>
      <c r="G75" s="174"/>
      <c r="H75" s="285"/>
      <c r="I75" s="174"/>
      <c r="J75" s="174"/>
      <c r="K75" s="174"/>
      <c r="L75" s="174"/>
      <c r="M75" s="1242"/>
    </row>
    <row r="76" spans="1:13" ht="13.5" thickBot="1">
      <c r="A76" s="1365"/>
      <c r="B76" s="1364"/>
      <c r="C76" s="148"/>
      <c r="D76" s="1478"/>
      <c r="E76" s="1241"/>
      <c r="F76" s="1241"/>
      <c r="G76" s="1241"/>
      <c r="H76" s="1241"/>
      <c r="I76" s="1898"/>
      <c r="J76" s="1898"/>
      <c r="K76" s="1898"/>
      <c r="L76" s="1898"/>
      <c r="M76" s="1242"/>
    </row>
    <row r="77" spans="1:13" ht="30" customHeight="1">
      <c r="A77" s="1726" t="s">
        <v>475</v>
      </c>
      <c r="B77" s="2255" t="s">
        <v>1187</v>
      </c>
      <c r="C77" s="1899"/>
      <c r="D77" s="1478"/>
      <c r="E77" s="1241"/>
      <c r="F77" s="1241"/>
      <c r="G77" s="2197"/>
      <c r="H77" s="2197"/>
      <c r="I77" s="2197"/>
      <c r="J77" s="2197"/>
      <c r="K77" s="1898"/>
      <c r="L77" s="1898"/>
      <c r="M77" s="1242"/>
    </row>
    <row r="78" spans="1:13" ht="15" customHeight="1">
      <c r="A78" s="1943">
        <v>710</v>
      </c>
      <c r="B78" s="1155" t="s">
        <v>1054</v>
      </c>
      <c r="C78" s="223">
        <v>6382.2359999999999</v>
      </c>
      <c r="D78" s="1909"/>
      <c r="E78" s="1241"/>
      <c r="F78" s="1241"/>
      <c r="G78" s="2197"/>
      <c r="H78" s="2197"/>
      <c r="I78" s="2197"/>
      <c r="J78" s="2197"/>
      <c r="K78" s="1898"/>
      <c r="L78" s="1898"/>
      <c r="M78" s="1242"/>
    </row>
    <row r="79" spans="1:13" ht="15" customHeight="1">
      <c r="A79" s="1920" t="s">
        <v>1008</v>
      </c>
      <c r="B79" s="1149" t="s">
        <v>1035</v>
      </c>
      <c r="C79" s="223">
        <v>1634.973</v>
      </c>
      <c r="D79" s="1909"/>
      <c r="E79" s="1241"/>
      <c r="F79" s="1241"/>
      <c r="G79" s="2197"/>
      <c r="H79" s="2197"/>
      <c r="I79" s="2197"/>
      <c r="J79" s="2197"/>
      <c r="K79" s="1898"/>
      <c r="L79" s="1898"/>
      <c r="M79" s="1242"/>
    </row>
    <row r="80" spans="1:13" ht="15" customHeight="1">
      <c r="A80" s="1920" t="s">
        <v>1009</v>
      </c>
      <c r="B80" s="1149" t="s">
        <v>1036</v>
      </c>
      <c r="C80" s="223">
        <v>129.76</v>
      </c>
      <c r="D80" s="1909"/>
      <c r="E80" s="1241"/>
      <c r="F80" s="1241"/>
      <c r="G80" s="2197"/>
      <c r="H80" s="2197"/>
      <c r="I80" s="2197"/>
      <c r="J80" s="2197"/>
      <c r="K80" s="1898"/>
      <c r="L80" s="1898"/>
      <c r="M80" s="1242"/>
    </row>
    <row r="81" spans="1:13" ht="15" customHeight="1">
      <c r="A81" s="1920" t="s">
        <v>1010</v>
      </c>
      <c r="B81" s="1149" t="s">
        <v>1183</v>
      </c>
      <c r="C81" s="223">
        <v>3809.69</v>
      </c>
      <c r="D81" s="1909"/>
      <c r="E81" s="1241"/>
      <c r="F81" s="1241"/>
      <c r="G81" s="2197"/>
      <c r="H81" s="2197"/>
      <c r="I81" s="2197"/>
      <c r="J81" s="2197"/>
      <c r="K81" s="1898"/>
      <c r="L81" s="1898"/>
      <c r="M81" s="1242"/>
    </row>
    <row r="82" spans="1:13" ht="15" customHeight="1" thickBot="1">
      <c r="A82" s="2109" t="s">
        <v>1014</v>
      </c>
      <c r="B82" s="1685" t="s">
        <v>1184</v>
      </c>
      <c r="C82" s="1895">
        <f>C78-C79-C80-C81</f>
        <v>807.81299999999965</v>
      </c>
      <c r="D82" s="1675"/>
      <c r="E82" s="1241"/>
      <c r="F82" s="1241"/>
      <c r="G82" s="2197"/>
      <c r="H82" s="2197"/>
      <c r="I82" s="2197"/>
      <c r="J82" s="2197"/>
      <c r="K82" s="1898"/>
      <c r="L82" s="1898"/>
      <c r="M82" s="1242"/>
    </row>
    <row r="83" spans="1:13">
      <c r="A83" s="1365"/>
      <c r="B83" s="1364"/>
      <c r="C83" s="148"/>
      <c r="D83" s="1478"/>
      <c r="E83" s="1241"/>
      <c r="F83" s="1241"/>
      <c r="G83" s="2197"/>
      <c r="H83" s="2197"/>
      <c r="I83" s="2197"/>
      <c r="J83" s="2197"/>
      <c r="K83" s="1898"/>
      <c r="L83" s="1898"/>
      <c r="M83" s="1242"/>
    </row>
    <row r="84" spans="1:13" ht="19.5" customHeight="1">
      <c r="A84" s="2506" t="s">
        <v>1169</v>
      </c>
      <c r="B84" s="2509"/>
      <c r="C84" s="2510"/>
      <c r="D84" s="2510"/>
      <c r="E84" s="2510"/>
      <c r="F84" s="2510"/>
      <c r="G84" s="2510"/>
      <c r="H84" s="2510"/>
      <c r="I84" s="2510"/>
      <c r="J84" s="2510"/>
      <c r="K84" s="2510"/>
      <c r="L84" s="1898"/>
      <c r="M84" s="1242"/>
    </row>
    <row r="85" spans="1:13">
      <c r="A85" s="2510"/>
      <c r="B85" s="2510"/>
      <c r="C85" s="2510"/>
      <c r="D85" s="2510"/>
      <c r="E85" s="2510"/>
      <c r="F85" s="2510"/>
      <c r="G85" s="2510"/>
      <c r="H85" s="2510"/>
      <c r="I85" s="2510"/>
      <c r="J85" s="2510"/>
      <c r="K85" s="2510"/>
      <c r="L85" s="1898"/>
      <c r="M85" s="1242"/>
    </row>
    <row r="86" spans="1:13">
      <c r="A86" s="1736" t="s">
        <v>1049</v>
      </c>
      <c r="B86" s="1741"/>
      <c r="C86" s="1742"/>
      <c r="D86" s="1743"/>
      <c r="E86" s="1743"/>
      <c r="F86" s="1733"/>
      <c r="G86" s="1744"/>
      <c r="H86" s="1745"/>
      <c r="I86" s="1746"/>
      <c r="J86" s="1240"/>
      <c r="K86" s="1240"/>
      <c r="L86" s="1240"/>
      <c r="M86" s="1242"/>
    </row>
    <row r="87" spans="1:13">
      <c r="A87" s="1736" t="s">
        <v>1011</v>
      </c>
      <c r="B87" s="1741"/>
      <c r="C87" s="1742"/>
      <c r="D87" s="1743"/>
      <c r="E87" s="1743"/>
      <c r="F87" s="1733"/>
      <c r="G87" s="1744"/>
      <c r="H87" s="1745"/>
      <c r="I87" s="1746"/>
      <c r="J87" s="1240"/>
      <c r="K87" s="1240"/>
      <c r="L87" s="1240"/>
      <c r="M87" s="1242"/>
    </row>
    <row r="88" spans="1:13" ht="21.75" customHeight="1" thickBot="1">
      <c r="A88" s="1736" t="s">
        <v>1079</v>
      </c>
      <c r="B88" s="1741"/>
      <c r="C88" s="1742"/>
      <c r="D88" s="1743"/>
      <c r="E88" s="1743"/>
      <c r="F88" s="1733"/>
      <c r="G88" s="1744"/>
      <c r="H88" s="1745"/>
      <c r="I88" s="1746"/>
      <c r="J88" s="1240"/>
      <c r="K88" s="1240"/>
      <c r="L88" s="1240"/>
      <c r="M88" s="1242"/>
    </row>
    <row r="89" spans="1:13" ht="21.75" customHeight="1">
      <c r="A89" s="1729" t="s">
        <v>475</v>
      </c>
      <c r="B89" s="1735" t="s">
        <v>1012</v>
      </c>
      <c r="C89" s="1922" t="s">
        <v>1013</v>
      </c>
      <c r="D89" s="1923" t="s">
        <v>1013</v>
      </c>
      <c r="E89" s="1241"/>
      <c r="F89" s="1241"/>
      <c r="G89" s="1897"/>
      <c r="H89" s="1241"/>
      <c r="I89" s="1897"/>
      <c r="J89" s="286"/>
      <c r="K89" s="286"/>
      <c r="L89" s="286"/>
      <c r="M89" s="1242"/>
    </row>
    <row r="90" spans="1:13">
      <c r="A90" s="1728"/>
      <c r="B90" s="1737"/>
      <c r="C90" s="2002" t="s">
        <v>915</v>
      </c>
      <c r="D90" s="1924" t="s">
        <v>915</v>
      </c>
      <c r="E90" s="1241"/>
      <c r="F90" s="1241"/>
      <c r="G90" s="1870"/>
      <c r="H90" s="174"/>
      <c r="I90" s="174"/>
      <c r="J90" s="174"/>
      <c r="K90" s="174"/>
      <c r="L90" s="174"/>
      <c r="M90" s="1242"/>
    </row>
    <row r="91" spans="1:13">
      <c r="A91" s="1728"/>
      <c r="B91" s="1730"/>
      <c r="C91" s="2003" t="s">
        <v>1080</v>
      </c>
      <c r="D91" s="1925" t="s">
        <v>834</v>
      </c>
      <c r="E91" s="1241"/>
      <c r="F91" s="1241"/>
      <c r="G91" s="174"/>
      <c r="H91" s="174"/>
      <c r="I91" s="174"/>
      <c r="J91" s="174"/>
      <c r="K91" s="174"/>
      <c r="L91" s="174"/>
      <c r="M91" s="1242"/>
    </row>
    <row r="92" spans="1:13" ht="39.75" customHeight="1">
      <c r="A92" s="1728"/>
      <c r="B92" s="1737"/>
      <c r="C92" s="2004" t="s">
        <v>1081</v>
      </c>
      <c r="D92" s="1989" t="s">
        <v>1024</v>
      </c>
      <c r="E92" s="1241"/>
      <c r="F92" s="1241"/>
      <c r="G92" s="1241"/>
      <c r="H92" s="1241"/>
      <c r="I92" s="1898"/>
      <c r="J92" s="1898"/>
      <c r="K92" s="1898"/>
      <c r="L92" s="1898"/>
      <c r="M92" s="1242"/>
    </row>
    <row r="93" spans="1:13">
      <c r="A93" s="1728"/>
      <c r="B93" s="1731"/>
      <c r="C93" s="1926"/>
      <c r="D93" s="1927"/>
      <c r="E93" s="1910"/>
      <c r="F93" s="1241"/>
      <c r="G93" s="1241"/>
      <c r="H93" s="1241"/>
      <c r="I93" s="1898"/>
      <c r="J93" s="1898"/>
      <c r="K93" s="1898"/>
      <c r="L93" s="1898"/>
      <c r="M93" s="1242"/>
    </row>
    <row r="94" spans="1:13">
      <c r="A94" s="1943" t="s">
        <v>1016</v>
      </c>
      <c r="B94" s="2256" t="s">
        <v>1015</v>
      </c>
      <c r="C94" s="1738">
        <v>33435.510999999999</v>
      </c>
      <c r="D94" s="1724">
        <v>358.49099999999999</v>
      </c>
      <c r="E94" s="2005"/>
      <c r="F94" s="1241"/>
      <c r="G94" s="1241"/>
      <c r="H94" s="1241"/>
      <c r="I94" s="1898"/>
      <c r="J94" s="1898"/>
      <c r="K94" s="1898"/>
      <c r="L94" s="1898"/>
      <c r="M94" s="1242"/>
    </row>
    <row r="95" spans="1:13">
      <c r="A95" s="1943" t="s">
        <v>1018</v>
      </c>
      <c r="B95" s="2256" t="s">
        <v>1017</v>
      </c>
      <c r="C95" s="1738">
        <v>17149.238000000001</v>
      </c>
      <c r="D95" s="1724">
        <v>187.97800000000001</v>
      </c>
      <c r="E95" s="2005"/>
      <c r="F95" s="1241"/>
      <c r="G95" s="1241"/>
      <c r="H95" s="1241"/>
      <c r="I95" s="1898"/>
      <c r="J95" s="1898"/>
      <c r="K95" s="1898"/>
      <c r="L95" s="1898"/>
      <c r="M95" s="1242"/>
    </row>
    <row r="96" spans="1:13">
      <c r="A96" s="1943" t="s">
        <v>1020</v>
      </c>
      <c r="B96" s="2256" t="s">
        <v>1019</v>
      </c>
      <c r="C96" s="1738">
        <v>2242.1799999999998</v>
      </c>
      <c r="D96" s="1724">
        <v>62.11</v>
      </c>
      <c r="E96" s="2005"/>
      <c r="F96" s="1241"/>
      <c r="G96" s="2197"/>
      <c r="H96" s="2197"/>
      <c r="I96" s="2197"/>
      <c r="J96" s="2197"/>
      <c r="K96" s="1898"/>
      <c r="L96" s="1898"/>
      <c r="M96" s="1242"/>
    </row>
    <row r="97" spans="1:13" ht="13.5" thickBot="1">
      <c r="A97" s="1944" t="s">
        <v>1022</v>
      </c>
      <c r="B97" s="1737" t="s">
        <v>1021</v>
      </c>
      <c r="C97" s="1739">
        <v>4805.5330000000004</v>
      </c>
      <c r="D97" s="1740">
        <v>81.748999999999995</v>
      </c>
      <c r="E97" s="2005"/>
      <c r="F97" s="1241"/>
      <c r="G97" s="2197"/>
      <c r="H97" s="2197"/>
      <c r="I97" s="2197"/>
      <c r="J97" s="2197"/>
      <c r="K97" s="1695"/>
      <c r="L97" s="1695"/>
      <c r="M97" s="1242"/>
    </row>
    <row r="98" spans="1:13" ht="13.5" thickBot="1">
      <c r="A98" s="1946" t="s">
        <v>1040</v>
      </c>
      <c r="B98" s="1921" t="s">
        <v>1023</v>
      </c>
      <c r="C98" s="1734">
        <f>SUM(C94:C97)</f>
        <v>57632.462</v>
      </c>
      <c r="D98" s="1732">
        <f>SUM(D94:D97)</f>
        <v>690.32800000000009</v>
      </c>
      <c r="E98" s="2006" t="str">
        <f>IF(C98&gt;0.2*SUM(BR!E9+BR!E12),"Kontrollera invest.utgifterna.","")</f>
        <v/>
      </c>
      <c r="F98" s="1241"/>
      <c r="G98" s="2197"/>
      <c r="H98" s="2197"/>
      <c r="I98" s="2197"/>
      <c r="J98" s="2197"/>
      <c r="K98" s="1695"/>
      <c r="L98" s="1695"/>
      <c r="M98" s="1242"/>
    </row>
    <row r="99" spans="1:13">
      <c r="A99" s="1365"/>
      <c r="B99" s="1364"/>
      <c r="C99" s="148"/>
      <c r="D99" s="67"/>
      <c r="E99" s="1241"/>
      <c r="F99" s="1241"/>
      <c r="G99" s="1896" t="s">
        <v>457</v>
      </c>
      <c r="H99" s="1241"/>
      <c r="I99" s="1898"/>
      <c r="J99" s="1898"/>
      <c r="K99" s="1898"/>
      <c r="L99" s="1898"/>
      <c r="M99" s="1242"/>
    </row>
    <row r="100" spans="1:13">
      <c r="A100" s="1365"/>
      <c r="B100" s="1364"/>
      <c r="C100" s="148"/>
      <c r="D100" s="67"/>
      <c r="E100" s="1241"/>
      <c r="F100" s="1241"/>
      <c r="G100" s="1241"/>
      <c r="H100" s="1241"/>
      <c r="I100" s="1898"/>
      <c r="J100" s="1898"/>
      <c r="K100" s="1898"/>
      <c r="L100" s="1898"/>
      <c r="M100" s="1242"/>
    </row>
    <row r="101" spans="1:13">
      <c r="A101" s="1365"/>
      <c r="B101" s="1364"/>
      <c r="C101" s="148"/>
      <c r="D101" s="67"/>
      <c r="E101" s="1241"/>
      <c r="F101" s="1241"/>
      <c r="G101" s="1241"/>
      <c r="H101" s="1241"/>
      <c r="I101" s="1898"/>
      <c r="J101" s="1898"/>
      <c r="K101" s="1898"/>
      <c r="L101" s="1898"/>
      <c r="M101" s="1242"/>
    </row>
    <row r="102" spans="1:13">
      <c r="A102" s="1365"/>
      <c r="B102" s="1364"/>
      <c r="C102" s="148"/>
      <c r="D102" s="67"/>
      <c r="E102" s="1241"/>
      <c r="F102" s="1241"/>
      <c r="G102" s="1241"/>
      <c r="H102" s="1241"/>
      <c r="I102" s="1898"/>
      <c r="J102" s="1898"/>
      <c r="K102" s="1898"/>
      <c r="L102" s="1898"/>
      <c r="M102" s="1242"/>
    </row>
    <row r="103" spans="1:13">
      <c r="A103" s="1365"/>
      <c r="B103" s="1364"/>
      <c r="C103" s="148"/>
      <c r="D103" s="67"/>
      <c r="E103" s="1241"/>
      <c r="F103" s="1241"/>
      <c r="G103" s="1241"/>
      <c r="H103" s="1241"/>
      <c r="I103" s="1898"/>
      <c r="J103" s="1898"/>
      <c r="K103" s="1898"/>
      <c r="L103" s="1898"/>
      <c r="M103" s="1242"/>
    </row>
    <row r="104" spans="1:13">
      <c r="A104" s="1365"/>
      <c r="B104" s="1364"/>
      <c r="C104" s="148"/>
      <c r="D104" s="67"/>
      <c r="E104" s="1241"/>
      <c r="F104" s="1241"/>
      <c r="G104" s="1241"/>
      <c r="H104" s="1241"/>
      <c r="I104" s="1242"/>
      <c r="J104" s="1242"/>
      <c r="K104" s="1242"/>
      <c r="L104" s="1242"/>
      <c r="M104" s="1242"/>
    </row>
    <row r="105" spans="1:13" ht="14.25" hidden="1" customHeight="1">
      <c r="A105" s="1365"/>
      <c r="B105" s="1364"/>
      <c r="C105" s="148"/>
      <c r="D105" s="67"/>
      <c r="E105" s="1241"/>
      <c r="F105" s="1241"/>
      <c r="G105" s="1241"/>
      <c r="H105" s="1241"/>
      <c r="J105" s="170"/>
      <c r="K105" s="170"/>
    </row>
    <row r="106" spans="1:13" ht="14.25" hidden="1" customHeight="1">
      <c r="A106" s="1365"/>
      <c r="B106" s="1364"/>
      <c r="C106" s="148"/>
      <c r="D106" s="67"/>
      <c r="E106" s="1241"/>
      <c r="F106" s="1241"/>
      <c r="G106" s="1241"/>
      <c r="H106" s="1241"/>
      <c r="I106" s="146"/>
      <c r="J106" s="146"/>
      <c r="K106" s="147"/>
    </row>
    <row r="107" spans="1:13" ht="14.25" hidden="1" customHeight="1">
      <c r="A107" s="4"/>
      <c r="B107" s="4"/>
      <c r="C107" s="4"/>
      <c r="D107" s="4"/>
      <c r="E107" s="4"/>
      <c r="F107" s="4"/>
      <c r="G107" s="4"/>
      <c r="H107" s="4"/>
      <c r="J107" s="145"/>
      <c r="K107" s="147"/>
    </row>
    <row r="108" spans="1:13" ht="14.25" hidden="1" customHeight="1">
      <c r="A108" s="170"/>
      <c r="B108" s="170"/>
      <c r="C108" s="170"/>
      <c r="D108" s="170"/>
      <c r="E108" s="170"/>
      <c r="F108" s="170"/>
      <c r="G108" s="170"/>
      <c r="H108" s="170"/>
      <c r="I108" s="146"/>
      <c r="J108" s="146"/>
      <c r="K108" s="147"/>
    </row>
    <row r="109" spans="1:13" ht="14.25" hidden="1" customHeight="1">
      <c r="A109" s="241"/>
      <c r="B109" s="145"/>
      <c r="C109" s="146"/>
      <c r="D109" s="146"/>
      <c r="E109" s="146"/>
      <c r="F109" s="146"/>
      <c r="G109" s="146"/>
      <c r="H109" s="146"/>
      <c r="I109" s="146"/>
      <c r="J109" s="146"/>
      <c r="K109" s="147"/>
    </row>
    <row r="110" spans="1:13" ht="14.25" hidden="1" customHeight="1">
      <c r="A110" s="241"/>
      <c r="B110" s="145"/>
      <c r="C110" s="146"/>
      <c r="D110" s="146"/>
      <c r="E110" s="146"/>
      <c r="F110" s="146"/>
      <c r="G110" s="146"/>
      <c r="H110" s="146"/>
      <c r="I110" s="146"/>
      <c r="J110" s="146"/>
      <c r="K110" s="147"/>
    </row>
    <row r="111" spans="1:13" ht="14.25" hidden="1" customHeight="1">
      <c r="A111" s="241"/>
      <c r="B111" s="145"/>
      <c r="C111" s="146"/>
      <c r="D111" s="146"/>
      <c r="E111" s="146"/>
      <c r="F111" s="146"/>
      <c r="G111" s="146"/>
      <c r="H111" s="146"/>
      <c r="J111" s="145"/>
      <c r="K111" s="147"/>
    </row>
    <row r="112" spans="1:13" ht="14.25" hidden="1" customHeight="1">
      <c r="A112" s="241"/>
      <c r="B112" s="145"/>
      <c r="C112" s="146"/>
      <c r="D112" s="146"/>
      <c r="E112" s="146"/>
      <c r="F112" s="146"/>
      <c r="G112" s="146"/>
      <c r="H112" s="146"/>
      <c r="J112" s="170"/>
      <c r="K112" s="170"/>
    </row>
    <row r="113" spans="1:11" ht="14.25" hidden="1" customHeight="1">
      <c r="A113" s="147"/>
      <c r="B113" s="145"/>
      <c r="C113" s="145"/>
      <c r="D113" s="145"/>
      <c r="E113" s="145"/>
      <c r="F113" s="145"/>
      <c r="G113" s="146"/>
      <c r="H113" s="146"/>
      <c r="J113" s="170"/>
      <c r="K113" s="170"/>
    </row>
    <row r="114" spans="1:11" ht="14.25" hidden="1" customHeight="1">
      <c r="A114" s="145"/>
      <c r="B114" s="145"/>
      <c r="C114" s="145"/>
      <c r="D114" s="145"/>
      <c r="E114" s="145"/>
      <c r="F114" s="145"/>
      <c r="G114" s="145"/>
      <c r="H114" s="145"/>
      <c r="J114" s="170"/>
      <c r="K114" s="170"/>
    </row>
    <row r="115" spans="1:11">
      <c r="A115" s="170"/>
      <c r="B115" s="170"/>
      <c r="C115" s="170"/>
      <c r="D115" s="170"/>
      <c r="E115" s="170"/>
      <c r="F115" s="170"/>
      <c r="G115" s="170"/>
      <c r="H115" s="170"/>
    </row>
    <row r="116" spans="1:11">
      <c r="A116" s="170"/>
      <c r="B116" s="170"/>
      <c r="C116" s="170"/>
      <c r="D116" s="170"/>
      <c r="E116" s="170"/>
      <c r="F116" s="170"/>
      <c r="G116" s="170"/>
      <c r="H116" s="170"/>
    </row>
    <row r="117" spans="1:11">
      <c r="A117" s="170"/>
      <c r="B117" s="170"/>
      <c r="C117" s="170"/>
      <c r="D117" s="170"/>
      <c r="E117" s="170"/>
      <c r="F117" s="170"/>
      <c r="G117" s="170"/>
      <c r="H117" s="170"/>
    </row>
    <row r="118" spans="1:11"/>
    <row r="119" spans="1:11"/>
  </sheetData>
  <sheetProtection algorithmName="SHA-512" hashValue="Bfm3lq6uFm+aUANra2hxzxNvhcC7syZREfRV2hyAz+SZwp+u74oIO0hnpCL92fkGalTUcVgmyE9mr1tEXtwLZQ==" saltValue="GPPsTtL/gXvHIXzovjS3PQ==" spinCount="100000" sheet="1" objects="1" scenarios="1"/>
  <customSheetViews>
    <customSheetView guid="{97D6DB71-3F4C-4C5F-8C5B-51E3EBF78932}" showPageBreaks="1" showGridLines="0" fitToPage="1" hiddenRows="1" hiddenColumns="1" topLeftCell="A34">
      <selection activeCell="B37" sqref="B37"/>
      <pageMargins left="0.70866141732283472" right="0.70866141732283472" top="0.74803149606299213" bottom="0.35433070866141736" header="0.31496062992125984" footer="0.31496062992125984"/>
      <pageSetup paperSize="9" scale="70" orientation="portrait" r:id="rId1"/>
      <headerFooter>
        <oddHeader>&amp;L&amp;8Statistiska Centralbyrå
Offentlig ekonomi&amp;R&amp;P</oddHeader>
      </headerFooter>
    </customSheetView>
    <customSheetView guid="{99FBDEB7-DD08-4F57-81F4-3C180403E153}" showGridLines="0" fitToPage="1" hiddenRows="1" hiddenColumns="1" topLeftCell="A22">
      <selection activeCell="B37" sqref="B37"/>
      <pageMargins left="0.70866141732283472" right="0.70866141732283472" top="0.74803149606299213" bottom="0.35433070866141736" header="0.31496062992125984" footer="0.31496062992125984"/>
      <pageSetup paperSize="9" scale="73" orientation="portrait" r:id="rId2"/>
      <headerFooter>
        <oddHeader>&amp;L&amp;8Statistiska Centralbyrå
Offentlig ekonomi&amp;R&amp;P</oddHeader>
      </headerFooter>
    </customSheetView>
    <customSheetView guid="{27C9E95B-0E2B-454F-B637-1CECC9579A10}" showGridLines="0" fitToPage="1" hiddenRows="1" hiddenColumns="1" showRuler="0" topLeftCell="A46">
      <selection activeCell="C16" sqref="C16"/>
      <pageMargins left="0.70866141732283472" right="0.70866141732283472" top="0.74803149606299213" bottom="0.35433070866141736" header="0.31496062992125984" footer="0.31496062992125984"/>
      <pageSetup paperSize="9" scale="73" orientation="portrait" r:id="rId3"/>
      <headerFooter alignWithMargins="0">
        <oddHeader>&amp;L&amp;8Statistiska Centralbyrå
Offentlig ekonomi&amp;R&amp;P</oddHeader>
      </headerFooter>
    </customSheetView>
  </customSheetViews>
  <mergeCells count="6">
    <mergeCell ref="E4:E5"/>
    <mergeCell ref="D4:D5"/>
    <mergeCell ref="C4:C5"/>
    <mergeCell ref="A70:F70"/>
    <mergeCell ref="A84:K85"/>
    <mergeCell ref="J12:M15"/>
  </mergeCells>
  <phoneticPr fontId="86" type="noConversion"/>
  <conditionalFormatting sqref="C74:C77 C34:F35 C37:F39 C42:F46 C48:F48 C50:F53 C55:F57 C59:F62 C65:F65 C86:C106 D98 C83 C25:H25 H65 H59:H62 H55:H57 H50:H53 H48 H42:H46 H37:H39 H34:H35 C26:F32 H26:H32 G26:G65">
    <cfRule type="cellIs" dxfId="106" priority="10" stopIfTrue="1" operator="lessThan">
      <formula>-500</formula>
    </cfRule>
  </conditionalFormatting>
  <conditionalFormatting sqref="D8:F8 D10:F11">
    <cfRule type="cellIs" dxfId="105" priority="12" stopIfTrue="1" operator="greaterThan">
      <formula>1</formula>
    </cfRule>
  </conditionalFormatting>
  <conditionalFormatting sqref="D7:F7 D9:F9">
    <cfRule type="cellIs" dxfId="104" priority="13" stopIfTrue="1" operator="lessThan">
      <formula>-1</formula>
    </cfRule>
  </conditionalFormatting>
  <conditionalFormatting sqref="C78:C82">
    <cfRule type="cellIs" dxfId="103" priority="7" stopIfTrue="1" operator="lessThan">
      <formula>-10</formula>
    </cfRule>
  </conditionalFormatting>
  <conditionalFormatting sqref="C8 C10:C11">
    <cfRule type="cellIs" dxfId="102" priority="4" stopIfTrue="1" operator="greaterThan">
      <formula>1</formula>
    </cfRule>
  </conditionalFormatting>
  <conditionalFormatting sqref="C7 C9">
    <cfRule type="cellIs" dxfId="101" priority="5" stopIfTrue="1" operator="lessThan">
      <formula>-1</formula>
    </cfRule>
  </conditionalFormatting>
  <dataValidations count="3">
    <dataValidation type="decimal" operator="lessThan" allowBlank="1" showInputMessage="1" showErrorMessage="1" error="Beloppet ska vara i 1000 tal kronor" sqref="H37:H39 H42:H46 H50:H53 H55:H57 H59:H62 H25:H32 H65 C12:H14 D98 C98:C106 C76 C86:C88 H48 C59:F62 C55:F57 C50:F53 H34:H35 C42:F46 C37:F39 C34:F35 C48:F48 C65:F65 C25:F32 C9:H9 C82:C83 G7:H7 C6:F7" xr:uid="{00000000-0002-0000-0500-000000000000}">
      <formula1>99999999</formula1>
    </dataValidation>
    <dataValidation type="decimal" operator="lessThanOrEqual" allowBlank="1" showInputMessage="1" showErrorMessage="1" error="Minustecken måste anges" sqref="C10:H11 C8:H8" xr:uid="{00000000-0002-0000-0500-000001000000}">
      <formula1>0</formula1>
    </dataValidation>
    <dataValidation type="decimal" allowBlank="1" showInputMessage="1" showErrorMessage="1" error="Beloppet ska vara utan minustecken och i tusental kronor" sqref="C78:C81 C74:C75 C94:D97" xr:uid="{00000000-0002-0000-0500-000002000000}">
      <formula1>0</formula1>
      <formula2>99999999</formula2>
    </dataValidation>
  </dataValidations>
  <pageMargins left="0.70866141732283472" right="0.70866141732283472" top="0.74803149606299213" bottom="0.35433070866141736" header="0.31496062992125984" footer="0.31496062992125984"/>
  <pageSetup paperSize="9" scale="64" orientation="portrait" r:id="rId4"/>
  <headerFooter>
    <oddHeader>&amp;L&amp;8Statistiska Centralbyrå
Offentlig ekonomi&amp;R&amp;P</oddHeader>
  </headerFooter>
  <ignoredErrors>
    <ignoredError sqref="A6:A15 A25:A66 A74:A82 A94:A98" numberStoredAsText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8">
    <tabColor rgb="FFFFFF00"/>
  </sheetPr>
  <dimension ref="A1:AH303"/>
  <sheetViews>
    <sheetView showGridLines="0" zoomScaleNormal="100" workbookViewId="0">
      <pane xSplit="2" ySplit="10" topLeftCell="G11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12.75" zeroHeight="1"/>
  <cols>
    <col min="1" max="1" width="3.85546875" style="204" customWidth="1"/>
    <col min="2" max="2" width="30.140625" style="204" customWidth="1"/>
    <col min="3" max="3" width="10.140625" style="204" customWidth="1"/>
    <col min="4" max="4" width="9.5703125" style="204" customWidth="1"/>
    <col min="5" max="5" width="8.5703125" style="204" customWidth="1"/>
    <col min="6" max="6" width="9.5703125" style="204" customWidth="1"/>
    <col min="7" max="7" width="11.140625" style="204" customWidth="1"/>
    <col min="8" max="8" width="9.5703125" style="204" customWidth="1"/>
    <col min="9" max="10" width="8.5703125" style="204" customWidth="1"/>
    <col min="11" max="11" width="1.42578125" style="204" customWidth="1"/>
    <col min="12" max="14" width="8.5703125" style="204" customWidth="1"/>
    <col min="15" max="15" width="9.42578125" style="204" customWidth="1"/>
    <col min="16" max="16" width="10" style="204" customWidth="1"/>
    <col min="17" max="17" width="3.5703125" style="204" customWidth="1"/>
    <col min="18" max="19" width="8.5703125" style="204" customWidth="1"/>
    <col min="20" max="20" width="10.85546875" style="204" customWidth="1"/>
    <col min="21" max="21" width="2.42578125" style="204" customWidth="1"/>
    <col min="22" max="22" width="8.5703125" style="204" customWidth="1"/>
    <col min="23" max="23" width="10.5703125" style="204" customWidth="1"/>
    <col min="24" max="24" width="2.42578125" style="204" customWidth="1"/>
    <col min="25" max="25" width="11.5703125" style="204" customWidth="1"/>
    <col min="26" max="26" width="9.140625" style="204" customWidth="1"/>
    <col min="27" max="27" width="8.5703125" style="204" customWidth="1"/>
    <col min="28" max="28" width="8.5703125" style="144" customWidth="1"/>
    <col min="29" max="29" width="7.42578125" style="144" customWidth="1"/>
    <col min="30" max="30" width="1" style="170" customWidth="1"/>
    <col min="31" max="31" width="6.85546875" style="419" hidden="1" customWidth="1"/>
    <col min="32" max="32" width="10.42578125" style="170" customWidth="1"/>
    <col min="33" max="33" width="10.140625" style="170" customWidth="1"/>
    <col min="34" max="34" width="0.140625" style="170" customWidth="1"/>
    <col min="35" max="36" width="9.140625" style="170" customWidth="1"/>
    <col min="37" max="16384" width="0" style="170" hidden="1"/>
  </cols>
  <sheetData>
    <row r="1" spans="1:34" ht="21.75" customHeight="1">
      <c r="A1" s="169"/>
      <c r="B1" s="78"/>
      <c r="C1" s="77" t="str">
        <f>"Driftredovisning "&amp;År&amp;", miljoner kr"</f>
        <v>Driftredovisning 2021, miljoner kr</v>
      </c>
      <c r="D1" s="78"/>
      <c r="E1" s="78"/>
      <c r="F1" s="169"/>
      <c r="G1" s="169"/>
      <c r="H1" s="169"/>
      <c r="I1" s="514" t="s">
        <v>457</v>
      </c>
      <c r="J1" s="515" t="str">
        <f>Information!A2</f>
        <v>RIKSTOTAL</v>
      </c>
      <c r="K1" s="196"/>
      <c r="L1" s="169"/>
      <c r="M1" s="169"/>
      <c r="N1" s="169"/>
      <c r="O1" s="169"/>
      <c r="P1" s="169"/>
      <c r="Q1" s="169"/>
      <c r="R1" s="77" t="str">
        <f>"Driftredovisning "&amp;År&amp;", miljoner kr"</f>
        <v>Driftredovisning 2021, miljoner kr</v>
      </c>
      <c r="S1" s="169"/>
      <c r="T1" s="169"/>
      <c r="U1" s="169"/>
      <c r="V1" s="169"/>
      <c r="W1" s="169"/>
      <c r="X1" s="169"/>
      <c r="Y1" s="514" t="s">
        <v>457</v>
      </c>
      <c r="Z1" s="515" t="str">
        <f>Information!A2</f>
        <v>RIKSTOTAL</v>
      </c>
      <c r="AA1" s="169"/>
      <c r="AB1" s="416"/>
      <c r="AC1" s="416"/>
      <c r="AD1" s="169"/>
      <c r="AE1" s="416"/>
      <c r="AF1" s="169"/>
      <c r="AG1" s="169"/>
    </row>
    <row r="2" spans="1:34" ht="12.75" customHeight="1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7"/>
      <c r="P2" s="2197"/>
      <c r="Q2" s="2197"/>
      <c r="R2" s="2197"/>
      <c r="S2" s="2197"/>
      <c r="T2" s="2197"/>
      <c r="U2" s="2197"/>
      <c r="V2" s="2197"/>
      <c r="W2" s="2197"/>
      <c r="X2" s="2197"/>
      <c r="Y2" s="4"/>
      <c r="Z2" s="2197"/>
      <c r="AA2" s="2197"/>
      <c r="AB2" s="2197"/>
      <c r="AC2" s="2197"/>
      <c r="AD2" s="2197"/>
      <c r="AE2" s="2197"/>
      <c r="AF2" s="2197"/>
      <c r="AG2" s="2197"/>
    </row>
    <row r="3" spans="1:34" s="199" customFormat="1" ht="12.75" customHeight="1" thickBo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  <c r="T3" s="2197"/>
      <c r="U3" s="2197"/>
      <c r="V3" s="2197"/>
      <c r="W3" s="2197"/>
      <c r="X3" s="2197"/>
      <c r="Y3" s="198" t="s">
        <v>144</v>
      </c>
      <c r="Z3" s="2197"/>
      <c r="AA3" s="2197"/>
      <c r="AB3" s="2197"/>
      <c r="AC3" s="2197"/>
      <c r="AD3" s="2197"/>
      <c r="AE3" s="2197"/>
      <c r="AF3" s="2197"/>
      <c r="AG3" s="2197"/>
    </row>
    <row r="4" spans="1:34" s="182" customFormat="1" ht="43.5" customHeight="1">
      <c r="A4" s="855" t="s">
        <v>203</v>
      </c>
      <c r="B4" s="856" t="s">
        <v>15</v>
      </c>
      <c r="C4" s="2549" t="s">
        <v>36</v>
      </c>
      <c r="D4" s="2550"/>
      <c r="E4" s="2551" t="s">
        <v>37</v>
      </c>
      <c r="F4" s="2552"/>
      <c r="G4" s="2552"/>
      <c r="H4" s="2553"/>
      <c r="I4" s="2555" t="s">
        <v>38</v>
      </c>
      <c r="J4" s="2556"/>
      <c r="K4" s="39"/>
      <c r="L4" s="2515" t="s">
        <v>145</v>
      </c>
      <c r="M4" s="2554"/>
      <c r="N4" s="2554"/>
      <c r="O4" s="2550"/>
      <c r="P4" s="928"/>
      <c r="Q4" s="73"/>
      <c r="R4" s="2515" t="s">
        <v>39</v>
      </c>
      <c r="S4" s="2516"/>
      <c r="T4" s="2517"/>
      <c r="U4" s="110"/>
      <c r="V4" s="1879" t="s">
        <v>147</v>
      </c>
      <c r="W4" s="948"/>
      <c r="X4" s="39"/>
      <c r="Y4" s="1591" t="s">
        <v>947</v>
      </c>
      <c r="Z4" s="2518" t="s">
        <v>975</v>
      </c>
      <c r="AA4" s="2519"/>
      <c r="AB4" s="2520"/>
      <c r="AC4" s="2257" t="str">
        <f>"Förändring kostnader för eget åtagande "&amp;År-1&amp;"-"&amp;År&amp;" procent"</f>
        <v>Förändring kostnader för eget åtagande 2020-2021 procent</v>
      </c>
      <c r="AD4" s="2197"/>
      <c r="AE4" s="1204" t="str">
        <f>"Köp av verksamhet som andel av "</f>
        <v xml:space="preserve">Köp av verksamhet som andel av </v>
      </c>
      <c r="AF4" s="2317" t="s">
        <v>952</v>
      </c>
      <c r="AG4" s="2307" t="s">
        <v>953</v>
      </c>
      <c r="AH4" s="1939" t="s">
        <v>1025</v>
      </c>
    </row>
    <row r="5" spans="1:34" ht="47.25" customHeight="1">
      <c r="A5" s="1300"/>
      <c r="B5" s="1301"/>
      <c r="C5" s="1284" t="s">
        <v>194</v>
      </c>
      <c r="D5" s="2331" t="s">
        <v>496</v>
      </c>
      <c r="E5" s="1375" t="s">
        <v>847</v>
      </c>
      <c r="F5" s="885" t="s">
        <v>782</v>
      </c>
      <c r="G5" s="886" t="s">
        <v>202</v>
      </c>
      <c r="H5" s="887" t="s">
        <v>771</v>
      </c>
      <c r="I5" s="888" t="s">
        <v>463</v>
      </c>
      <c r="J5" s="2333" t="s">
        <v>497</v>
      </c>
      <c r="K5" s="39"/>
      <c r="L5" s="929" t="s">
        <v>533</v>
      </c>
      <c r="M5" s="930" t="s">
        <v>464</v>
      </c>
      <c r="N5" s="2538" t="s">
        <v>1077</v>
      </c>
      <c r="O5" s="2539"/>
      <c r="P5" s="931" t="s">
        <v>473</v>
      </c>
      <c r="Q5" s="48"/>
      <c r="R5" s="946" t="s">
        <v>692</v>
      </c>
      <c r="S5" s="887" t="s">
        <v>466</v>
      </c>
      <c r="T5" s="947" t="s">
        <v>467</v>
      </c>
      <c r="U5" s="33"/>
      <c r="V5" s="932"/>
      <c r="W5" s="949" t="s">
        <v>474</v>
      </c>
      <c r="X5" s="39"/>
      <c r="Y5" s="2530" t="s">
        <v>1126</v>
      </c>
      <c r="Z5" s="890" t="str">
        <f>"Netto-kostnader "&amp;År&amp;""</f>
        <v>Netto-kostnader 2021</v>
      </c>
      <c r="AA5" s="890" t="str">
        <f>"Kostnader för eget åtagande "&amp;År&amp;""</f>
        <v>Kostnader för eget åtagande 2021</v>
      </c>
      <c r="AB5" s="890" t="str">
        <f>"Kostnader för eget åtagande "&amp;År-1&amp;""</f>
        <v>Kostnader för eget åtagande 2020</v>
      </c>
      <c r="AC5" s="2258"/>
      <c r="AD5" s="2197"/>
      <c r="AE5" s="2288" t="str">
        <f>"verksamhetens kostnad för eget åtagande "&amp;År&amp;" procent"</f>
        <v>verksamhetens kostnad för eget åtagande 2021 procent</v>
      </c>
      <c r="AF5" s="2547" t="s">
        <v>954</v>
      </c>
      <c r="AG5" s="2545" t="s">
        <v>955</v>
      </c>
      <c r="AH5" s="2543" t="s">
        <v>1026</v>
      </c>
    </row>
    <row r="6" spans="1:34" ht="56.25" customHeight="1" thickBot="1">
      <c r="A6" s="858"/>
      <c r="B6" s="2053" t="s">
        <v>1206</v>
      </c>
      <c r="C6" s="2137" t="s">
        <v>1153</v>
      </c>
      <c r="D6" s="2138"/>
      <c r="E6" s="2332" t="s">
        <v>1191</v>
      </c>
      <c r="F6" s="1366" t="s">
        <v>810</v>
      </c>
      <c r="G6" s="1420" t="s">
        <v>1207</v>
      </c>
      <c r="H6" s="1366" t="s">
        <v>45</v>
      </c>
      <c r="I6" s="1367" t="s">
        <v>46</v>
      </c>
      <c r="J6" s="2334" t="s">
        <v>1210</v>
      </c>
      <c r="K6" s="39"/>
      <c r="L6" s="2336" t="s">
        <v>1208</v>
      </c>
      <c r="M6" s="1302"/>
      <c r="N6" s="1285" t="s">
        <v>848</v>
      </c>
      <c r="O6" s="1592" t="s">
        <v>849</v>
      </c>
      <c r="P6" s="933"/>
      <c r="Q6" s="73"/>
      <c r="R6" s="2179" t="s">
        <v>843</v>
      </c>
      <c r="S6" s="2180" t="s">
        <v>47</v>
      </c>
      <c r="T6" s="1368" t="s">
        <v>783</v>
      </c>
      <c r="U6" s="33"/>
      <c r="V6" s="858"/>
      <c r="W6" s="933"/>
      <c r="X6" s="39"/>
      <c r="Y6" s="2531"/>
      <c r="Z6" s="1629"/>
      <c r="AA6" s="1630"/>
      <c r="AB6" s="1631"/>
      <c r="AC6" s="2259"/>
      <c r="AD6" s="2197"/>
      <c r="AE6" s="2289"/>
      <c r="AF6" s="2548"/>
      <c r="AG6" s="2546"/>
      <c r="AH6" s="2544"/>
    </row>
    <row r="7" spans="1:34" ht="9.75" hidden="1" customHeight="1">
      <c r="A7" s="858"/>
      <c r="B7" s="1502"/>
      <c r="C7" s="1423"/>
      <c r="D7" s="1424"/>
      <c r="E7" s="1428"/>
      <c r="F7" s="1429"/>
      <c r="G7" s="1430"/>
      <c r="H7" s="1431"/>
      <c r="I7" s="1432"/>
      <c r="J7" s="1433"/>
      <c r="K7" s="33"/>
      <c r="L7" s="1288"/>
      <c r="M7" s="1289"/>
      <c r="N7" s="1286"/>
      <c r="O7" s="859"/>
      <c r="P7" s="934"/>
      <c r="Q7" s="48"/>
      <c r="R7" s="1454"/>
      <c r="S7" s="1455"/>
      <c r="T7" s="1456"/>
      <c r="U7" s="33"/>
      <c r="V7" s="932"/>
      <c r="W7" s="934"/>
      <c r="X7" s="33"/>
      <c r="Y7" s="1278"/>
      <c r="Z7" s="964"/>
      <c r="AA7" s="966"/>
      <c r="AB7" s="965"/>
      <c r="AC7" s="2258"/>
      <c r="AD7" s="2197"/>
      <c r="AE7" s="2289"/>
      <c r="AF7" s="2318"/>
      <c r="AG7" s="1590"/>
      <c r="AH7" s="1828"/>
    </row>
    <row r="8" spans="1:34" ht="12.75" hidden="1" customHeight="1">
      <c r="A8" s="860"/>
      <c r="B8" s="1425"/>
      <c r="C8" s="1426"/>
      <c r="D8" s="1427"/>
      <c r="E8" s="1434"/>
      <c r="F8" s="1435"/>
      <c r="G8" s="1436"/>
      <c r="H8" s="1437"/>
      <c r="I8" s="1438"/>
      <c r="J8" s="1439"/>
      <c r="K8" s="33"/>
      <c r="L8" s="932"/>
      <c r="M8" s="892"/>
      <c r="N8" s="1286"/>
      <c r="O8" s="859"/>
      <c r="P8" s="934"/>
      <c r="Q8" s="48"/>
      <c r="R8" s="1454"/>
      <c r="S8" s="1455"/>
      <c r="T8" s="1456"/>
      <c r="U8" s="33"/>
      <c r="V8" s="935"/>
      <c r="W8" s="934"/>
      <c r="X8" s="33"/>
      <c r="Y8" s="1278"/>
      <c r="Z8" s="967"/>
      <c r="AA8" s="968"/>
      <c r="AB8" s="891"/>
      <c r="AC8" s="2258"/>
      <c r="AD8" s="2197"/>
      <c r="AE8" s="2290"/>
      <c r="AF8" s="2318"/>
      <c r="AG8" s="1590"/>
      <c r="AH8" s="1828"/>
    </row>
    <row r="9" spans="1:34" ht="10.5" hidden="1" customHeight="1">
      <c r="A9" s="858"/>
      <c r="B9" s="1440"/>
      <c r="C9" s="1441"/>
      <c r="D9" s="1442"/>
      <c r="E9" s="1443"/>
      <c r="F9" s="1444"/>
      <c r="G9" s="1436"/>
      <c r="H9" s="1437"/>
      <c r="I9" s="1445"/>
      <c r="J9" s="1446"/>
      <c r="K9" s="11"/>
      <c r="L9" s="935"/>
      <c r="M9" s="892"/>
      <c r="N9" s="1197"/>
      <c r="O9" s="1205"/>
      <c r="P9" s="934"/>
      <c r="Q9" s="48"/>
      <c r="R9" s="1457"/>
      <c r="S9" s="1458"/>
      <c r="T9" s="1446"/>
      <c r="U9" s="11"/>
      <c r="V9" s="935"/>
      <c r="W9" s="950"/>
      <c r="X9" s="11"/>
      <c r="Y9" s="1278"/>
      <c r="Z9" s="967"/>
      <c r="AA9" s="967"/>
      <c r="AB9" s="891"/>
      <c r="AC9" s="2258"/>
      <c r="AD9" s="2197"/>
      <c r="AE9" s="2291"/>
      <c r="AF9" s="2318"/>
      <c r="AG9" s="1590"/>
      <c r="AH9" s="1828"/>
    </row>
    <row r="10" spans="1:34" ht="12" hidden="1" customHeight="1">
      <c r="A10" s="861"/>
      <c r="B10" s="1447"/>
      <c r="C10" s="1448"/>
      <c r="D10" s="1449"/>
      <c r="E10" s="1450"/>
      <c r="F10" s="1449"/>
      <c r="G10" s="1451"/>
      <c r="H10" s="1452"/>
      <c r="I10" s="1448"/>
      <c r="J10" s="1453"/>
      <c r="K10" s="11"/>
      <c r="L10" s="936"/>
      <c r="M10" s="893"/>
      <c r="N10" s="1053"/>
      <c r="O10" s="1287"/>
      <c r="P10" s="937"/>
      <c r="Q10" s="202"/>
      <c r="R10" s="1459"/>
      <c r="S10" s="1449"/>
      <c r="T10" s="1453"/>
      <c r="U10" s="111"/>
      <c r="V10" s="936"/>
      <c r="W10" s="951"/>
      <c r="X10" s="11"/>
      <c r="Y10" s="1642"/>
      <c r="Z10" s="1626"/>
      <c r="AA10" s="1627"/>
      <c r="AB10" s="1628"/>
      <c r="AC10" s="2260"/>
      <c r="AD10" s="2197"/>
      <c r="AE10" s="2292"/>
      <c r="AF10" s="2318"/>
      <c r="AG10" s="1590"/>
      <c r="AH10" s="1829"/>
    </row>
    <row r="11" spans="1:34" ht="39" customHeight="1" thickBot="1">
      <c r="A11" s="862"/>
      <c r="B11" s="863" t="s">
        <v>16</v>
      </c>
      <c r="C11" s="894"/>
      <c r="D11" s="895"/>
      <c r="E11" s="894"/>
      <c r="F11" s="896"/>
      <c r="G11" s="897"/>
      <c r="H11" s="898"/>
      <c r="I11" s="894"/>
      <c r="J11" s="899"/>
      <c r="K11" s="203"/>
      <c r="L11" s="938"/>
      <c r="M11" s="896"/>
      <c r="N11" s="895"/>
      <c r="O11" s="939"/>
      <c r="P11" s="899"/>
      <c r="Q11" s="203"/>
      <c r="R11" s="938"/>
      <c r="S11" s="896"/>
      <c r="T11" s="899"/>
      <c r="U11" s="203"/>
      <c r="V11" s="952"/>
      <c r="W11" s="953"/>
      <c r="X11" s="37"/>
      <c r="Y11" s="1641" t="s">
        <v>50</v>
      </c>
      <c r="Z11" s="2535"/>
      <c r="AA11" s="2533"/>
      <c r="AB11" s="2533"/>
      <c r="AC11" s="2534"/>
      <c r="AD11" s="2197"/>
      <c r="AE11" s="2293"/>
      <c r="AF11" s="2318"/>
      <c r="AG11" s="1590"/>
      <c r="AH11" s="1830"/>
    </row>
    <row r="12" spans="1:34" ht="11.25" customHeight="1">
      <c r="A12" s="864"/>
      <c r="B12" s="865" t="s">
        <v>48</v>
      </c>
      <c r="C12" s="900"/>
      <c r="D12" s="901"/>
      <c r="E12" s="900"/>
      <c r="F12" s="902"/>
      <c r="G12" s="903"/>
      <c r="H12" s="904"/>
      <c r="I12" s="900"/>
      <c r="J12" s="905"/>
      <c r="K12" s="203"/>
      <c r="L12" s="940"/>
      <c r="M12" s="902"/>
      <c r="N12" s="901"/>
      <c r="O12" s="941"/>
      <c r="P12" s="905"/>
      <c r="Q12" s="203"/>
      <c r="R12" s="940"/>
      <c r="S12" s="902"/>
      <c r="T12" s="905"/>
      <c r="U12" s="203"/>
      <c r="V12" s="954"/>
      <c r="W12" s="955"/>
      <c r="X12" s="30"/>
      <c r="Y12" s="974"/>
      <c r="Z12" s="969"/>
      <c r="AA12" s="969"/>
      <c r="AB12" s="970"/>
      <c r="AC12" s="2261"/>
      <c r="AD12" s="2197"/>
      <c r="AE12" s="2293"/>
      <c r="AF12" s="2318"/>
      <c r="AG12" s="1590"/>
      <c r="AH12" s="1831"/>
    </row>
    <row r="13" spans="1:34">
      <c r="A13" s="2085" t="s">
        <v>212</v>
      </c>
      <c r="B13" s="866" t="s">
        <v>49</v>
      </c>
      <c r="C13" s="20">
        <v>2121.9340000000002</v>
      </c>
      <c r="D13" s="21">
        <v>704.35500000000002</v>
      </c>
      <c r="E13" s="22">
        <v>48.195999999999998</v>
      </c>
      <c r="F13" s="20">
        <v>27.026</v>
      </c>
      <c r="G13" s="20">
        <v>246.542</v>
      </c>
      <c r="H13" s="21">
        <v>59.067999999999998</v>
      </c>
      <c r="I13" s="20">
        <v>19.314</v>
      </c>
      <c r="J13" s="100">
        <v>14.486000000000001</v>
      </c>
      <c r="K13" s="31"/>
      <c r="L13" s="103">
        <v>64.400999999999996</v>
      </c>
      <c r="M13" s="20">
        <v>238.42699999999999</v>
      </c>
      <c r="N13" s="21">
        <v>17.532</v>
      </c>
      <c r="O13" s="443">
        <v>125.759</v>
      </c>
      <c r="P13" s="370">
        <f>SUM(C13:O13)</f>
        <v>3687.04</v>
      </c>
      <c r="Q13" s="49"/>
      <c r="R13" s="103">
        <v>2.7650000000000001</v>
      </c>
      <c r="S13" s="20">
        <v>1.0349999999999999</v>
      </c>
      <c r="T13" s="100">
        <v>60.045999999999999</v>
      </c>
      <c r="U13" s="50"/>
      <c r="V13" s="113">
        <v>56.37</v>
      </c>
      <c r="W13" s="405">
        <f>SUM(R13:V13)</f>
        <v>120.21599999999999</v>
      </c>
      <c r="X13" s="57"/>
      <c r="Y13" s="1620">
        <v>3615.3679999999999</v>
      </c>
      <c r="Z13" s="1621"/>
      <c r="AA13" s="1622"/>
      <c r="AB13" s="1623"/>
      <c r="AC13" s="2262"/>
      <c r="AD13" s="2197"/>
      <c r="AE13" s="2294"/>
      <c r="AF13" s="2319">
        <v>3566.8380000000002</v>
      </c>
      <c r="AG13" s="2308">
        <v>3533.5189999999998</v>
      </c>
      <c r="AH13" s="1832">
        <f>W13-V13-(IF(AND(Motpart!$Y$9="",Motpart!$Z$9=""),0,IF(AND(Motpart!$Y$9=0,Motpart!$Z$9=0),0,((T13/$T$17)*(Motpart!$Y$9+Motpart!$Z$9)))))</f>
        <v>34.810048725637174</v>
      </c>
    </row>
    <row r="14" spans="1:34">
      <c r="A14" s="2085" t="s">
        <v>213</v>
      </c>
      <c r="B14" s="867" t="s">
        <v>51</v>
      </c>
      <c r="C14" s="23">
        <v>7.5469999999999997</v>
      </c>
      <c r="D14" s="21">
        <v>2.831</v>
      </c>
      <c r="E14" s="25">
        <v>0.15</v>
      </c>
      <c r="F14" s="23">
        <v>0.14000000000000001</v>
      </c>
      <c r="G14" s="23">
        <v>1.7869999999999999</v>
      </c>
      <c r="H14" s="24">
        <v>491.584</v>
      </c>
      <c r="I14" s="23">
        <v>7.1999999999999995E-2</v>
      </c>
      <c r="J14" s="101">
        <v>3.0000000000000001E-3</v>
      </c>
      <c r="K14" s="31"/>
      <c r="L14" s="104">
        <v>0.255</v>
      </c>
      <c r="M14" s="23">
        <v>1.8089999999999999</v>
      </c>
      <c r="N14" s="21">
        <v>0.248</v>
      </c>
      <c r="O14" s="371">
        <v>0.24099999999999999</v>
      </c>
      <c r="P14" s="370">
        <f>SUM(C14:O14)</f>
        <v>506.66699999999997</v>
      </c>
      <c r="Q14" s="49"/>
      <c r="R14" s="104">
        <v>0</v>
      </c>
      <c r="S14" s="23">
        <v>0</v>
      </c>
      <c r="T14" s="101">
        <v>0.105</v>
      </c>
      <c r="U14" s="50"/>
      <c r="V14" s="114">
        <v>1.766</v>
      </c>
      <c r="W14" s="405">
        <f>SUM(R14:V14)</f>
        <v>1.871</v>
      </c>
      <c r="X14" s="57"/>
      <c r="Y14" s="1497">
        <v>504.86399999999998</v>
      </c>
      <c r="Z14" s="1624"/>
      <c r="AA14" s="1625"/>
      <c r="AB14" s="1625"/>
      <c r="AC14" s="2263"/>
      <c r="AD14" s="2197"/>
      <c r="AE14" s="2294"/>
      <c r="AF14" s="2319">
        <v>504.798</v>
      </c>
      <c r="AG14" s="2308">
        <v>13.178000000000001</v>
      </c>
      <c r="AH14" s="1832">
        <f>W14-V14-(IF(AND(Motpart!$Y$9="",Motpart!$Z$9=""),0,IF(AND(Motpart!$Y$9=0,Motpart!$Z$9=0),0,((T14/$T$17)*(Motpart!$Y$9+Motpart!$Z$9)))))</f>
        <v>5.4226011994002982E-2</v>
      </c>
    </row>
    <row r="15" spans="1:34">
      <c r="A15" s="2085" t="s">
        <v>214</v>
      </c>
      <c r="B15" s="867" t="s">
        <v>52</v>
      </c>
      <c r="C15" s="23">
        <v>134.22300000000001</v>
      </c>
      <c r="D15" s="21">
        <v>42.665999999999997</v>
      </c>
      <c r="E15" s="25">
        <v>2.7970000000000002</v>
      </c>
      <c r="F15" s="23">
        <v>7.1929999999999996</v>
      </c>
      <c r="G15" s="23">
        <v>263.52300000000002</v>
      </c>
      <c r="H15" s="24">
        <v>0.308</v>
      </c>
      <c r="I15" s="23">
        <v>2.7770000000000001</v>
      </c>
      <c r="J15" s="101">
        <v>6.9000000000000006E-2</v>
      </c>
      <c r="K15" s="31"/>
      <c r="L15" s="104">
        <v>3.1539999999999999</v>
      </c>
      <c r="M15" s="23">
        <v>8.6850000000000005</v>
      </c>
      <c r="N15" s="21">
        <v>1.405</v>
      </c>
      <c r="O15" s="371">
        <v>17.050999999999998</v>
      </c>
      <c r="P15" s="370">
        <f>SUM(C15:O15)</f>
        <v>483.851</v>
      </c>
      <c r="Q15" s="49"/>
      <c r="R15" s="104">
        <v>5.2110000000000003</v>
      </c>
      <c r="S15" s="23">
        <v>0</v>
      </c>
      <c r="T15" s="101">
        <v>12.183999999999999</v>
      </c>
      <c r="U15" s="50"/>
      <c r="V15" s="114">
        <v>2.1309999999999998</v>
      </c>
      <c r="W15" s="405">
        <f>SUM(R15:V15)</f>
        <v>19.526</v>
      </c>
      <c r="X15" s="57"/>
      <c r="Y15" s="1497">
        <v>480.62599999999998</v>
      </c>
      <c r="Z15" s="1624"/>
      <c r="AA15" s="1625"/>
      <c r="AB15" s="1625"/>
      <c r="AC15" s="2263"/>
      <c r="AD15" s="2197"/>
      <c r="AE15" s="2294"/>
      <c r="AF15" s="2319">
        <v>464.334</v>
      </c>
      <c r="AG15" s="2308">
        <v>474.22899999999998</v>
      </c>
      <c r="AH15" s="1832">
        <f>W15-V15-(IF(AND(Motpart!$Y$9="",Motpart!$Z$9=""),0,IF(AND(Motpart!$Y$9=0,Motpart!$Z$9=0),0,((T15/$T$17)*(Motpart!$Y$9+Motpart!$Z$9)))))</f>
        <v>11.503283144142214</v>
      </c>
    </row>
    <row r="16" spans="1:34">
      <c r="A16" s="2085" t="s">
        <v>215</v>
      </c>
      <c r="B16" s="867" t="s">
        <v>53</v>
      </c>
      <c r="C16" s="23">
        <v>1213.6489999999999</v>
      </c>
      <c r="D16" s="21">
        <v>431.702</v>
      </c>
      <c r="E16" s="25">
        <v>24.116</v>
      </c>
      <c r="F16" s="23">
        <v>193.48599999999999</v>
      </c>
      <c r="G16" s="23">
        <v>537.30399999999997</v>
      </c>
      <c r="H16" s="24">
        <v>89.381</v>
      </c>
      <c r="I16" s="23">
        <v>16.544</v>
      </c>
      <c r="J16" s="101">
        <v>9.9610000000000003</v>
      </c>
      <c r="K16" s="31"/>
      <c r="L16" s="104">
        <v>37.57</v>
      </c>
      <c r="M16" s="23">
        <v>204.054</v>
      </c>
      <c r="N16" s="21">
        <v>14.539</v>
      </c>
      <c r="O16" s="371">
        <v>78.462000000000003</v>
      </c>
      <c r="P16" s="370">
        <f>SUM(C16:O16)</f>
        <v>2850.768</v>
      </c>
      <c r="Q16" s="49"/>
      <c r="R16" s="104">
        <v>25.863</v>
      </c>
      <c r="S16" s="23">
        <v>0.24099999999999999</v>
      </c>
      <c r="T16" s="101">
        <v>282.50900000000001</v>
      </c>
      <c r="U16" s="50"/>
      <c r="V16" s="114">
        <v>119.059</v>
      </c>
      <c r="W16" s="405">
        <f>SUM(R16:V16)</f>
        <v>427.67200000000003</v>
      </c>
      <c r="X16" s="57"/>
      <c r="Y16" s="1497">
        <v>2576.5749999999998</v>
      </c>
      <c r="Z16" s="1624"/>
      <c r="AA16" s="1625"/>
      <c r="AB16" s="1625"/>
      <c r="AC16" s="2263"/>
      <c r="AD16" s="2197"/>
      <c r="AE16" s="2294"/>
      <c r="AF16" s="2319">
        <v>2423.0909999999999</v>
      </c>
      <c r="AG16" s="2308">
        <v>2448.8539999999998</v>
      </c>
      <c r="AH16" s="1832">
        <f>W16-V16-(IF(AND(Motpart!$Y$9="",Motpart!$Z$9=""),0,IF(AND(Motpart!$Y$9=0,Motpart!$Z$9=0),0,((T16/$T$17)*(Motpart!$Y$9+Motpart!$Z$9)))))</f>
        <v>172.00244211822664</v>
      </c>
    </row>
    <row r="17" spans="1:34" ht="12.75" customHeight="1" thickBot="1">
      <c r="A17" s="2100" t="s">
        <v>216</v>
      </c>
      <c r="B17" s="867" t="s">
        <v>54</v>
      </c>
      <c r="C17" s="363">
        <f>SUM(C13:C16)</f>
        <v>3477.3530000000001</v>
      </c>
      <c r="D17" s="26">
        <f t="shared" ref="D17:O17" si="0">SUM(D13:D16)</f>
        <v>1181.5540000000001</v>
      </c>
      <c r="E17" s="373">
        <f t="shared" si="0"/>
        <v>75.258999999999986</v>
      </c>
      <c r="F17" s="363">
        <f t="shared" si="0"/>
        <v>227.845</v>
      </c>
      <c r="G17" s="363">
        <f t="shared" si="0"/>
        <v>1049.1559999999999</v>
      </c>
      <c r="H17" s="26">
        <f t="shared" si="0"/>
        <v>640.34100000000001</v>
      </c>
      <c r="I17" s="363">
        <f t="shared" si="0"/>
        <v>38.707000000000001</v>
      </c>
      <c r="J17" s="105">
        <f t="shared" si="0"/>
        <v>24.519000000000002</v>
      </c>
      <c r="K17" s="148"/>
      <c r="L17" s="372">
        <f>SUM(L13:L16)</f>
        <v>105.38</v>
      </c>
      <c r="M17" s="363">
        <f t="shared" si="0"/>
        <v>452.97500000000002</v>
      </c>
      <c r="N17" s="26">
        <f t="shared" si="0"/>
        <v>33.724000000000004</v>
      </c>
      <c r="O17" s="26">
        <f t="shared" si="0"/>
        <v>221.51299999999998</v>
      </c>
      <c r="P17" s="105">
        <f>SUM(P6:P16)</f>
        <v>7528.326</v>
      </c>
      <c r="Q17" s="49"/>
      <c r="R17" s="372">
        <f>SUM(R13:R16)</f>
        <v>33.838999999999999</v>
      </c>
      <c r="S17" s="363">
        <f>SUM(S13:S16)</f>
        <v>1.2759999999999998</v>
      </c>
      <c r="T17" s="105">
        <f>SUM(T13:T16)</f>
        <v>354.84399999999999</v>
      </c>
      <c r="U17" s="49"/>
      <c r="V17" s="117">
        <f>SUM(V13:V16)</f>
        <v>179.32599999999999</v>
      </c>
      <c r="W17" s="118">
        <f>SUM(W13:W16)</f>
        <v>569.28500000000008</v>
      </c>
      <c r="X17" s="57"/>
      <c r="Y17" s="976">
        <v>7177.4449999999997</v>
      </c>
      <c r="Z17" s="977">
        <f>(P17-W17)*1000/invanare</f>
        <v>665.78874405562942</v>
      </c>
      <c r="AA17" s="977">
        <f>Y17*1000/invanare</f>
        <v>686.68399741837368</v>
      </c>
      <c r="AB17" s="977">
        <v>668.11</v>
      </c>
      <c r="AC17" s="2264">
        <f>IF(ISERROR((AA17-AB17)/AB17)," ",((AA17-AB17)/AB17))</f>
        <v>2.7800807379583698E-2</v>
      </c>
      <c r="AD17" s="2197"/>
      <c r="AE17" s="2295"/>
      <c r="AF17" s="2320">
        <v>6959.076</v>
      </c>
      <c r="AG17" s="2309">
        <v>6480.8540000000003</v>
      </c>
      <c r="AH17" s="1832">
        <f>W17-V17-SUM(Motpart!Y9:Z9)</f>
        <v>218.37000000000006</v>
      </c>
    </row>
    <row r="18" spans="1:34" ht="37.5" customHeight="1" thickBot="1">
      <c r="A18" s="2101"/>
      <c r="B18" s="868" t="s">
        <v>55</v>
      </c>
      <c r="C18" s="906"/>
      <c r="D18" s="907"/>
      <c r="E18" s="906"/>
      <c r="F18" s="908"/>
      <c r="G18" s="908"/>
      <c r="H18" s="907"/>
      <c r="I18" s="908"/>
      <c r="J18" s="909"/>
      <c r="K18" s="31"/>
      <c r="L18" s="942"/>
      <c r="M18" s="908"/>
      <c r="N18" s="907"/>
      <c r="O18" s="907"/>
      <c r="P18" s="909"/>
      <c r="Q18" s="50"/>
      <c r="R18" s="942"/>
      <c r="S18" s="908"/>
      <c r="T18" s="909"/>
      <c r="U18" s="50"/>
      <c r="V18" s="956"/>
      <c r="W18" s="957"/>
      <c r="X18" s="31"/>
      <c r="Y18" s="1641" t="s">
        <v>973</v>
      </c>
      <c r="Z18" s="2535"/>
      <c r="AA18" s="2533"/>
      <c r="AB18" s="2533"/>
      <c r="AC18" s="2534"/>
      <c r="AD18" s="2197"/>
      <c r="AE18" s="2296"/>
      <c r="AF18" s="2321"/>
      <c r="AG18" s="2310"/>
      <c r="AH18" s="1833"/>
    </row>
    <row r="19" spans="1:34">
      <c r="A19" s="2085" t="s">
        <v>217</v>
      </c>
      <c r="B19" s="869" t="s">
        <v>56</v>
      </c>
      <c r="C19" s="20">
        <v>4393.4340000000002</v>
      </c>
      <c r="D19" s="21">
        <v>1732.3910000000001</v>
      </c>
      <c r="E19" s="20">
        <v>1059.9659999999999</v>
      </c>
      <c r="F19" s="20">
        <v>152.72300000000001</v>
      </c>
      <c r="G19" s="20">
        <v>2499.4520000000002</v>
      </c>
      <c r="H19" s="21">
        <v>120.36</v>
      </c>
      <c r="I19" s="20">
        <v>840.07299999999998</v>
      </c>
      <c r="J19" s="100">
        <v>1081.5239999999999</v>
      </c>
      <c r="K19" s="31"/>
      <c r="L19" s="103">
        <v>452.76900000000001</v>
      </c>
      <c r="M19" s="20">
        <v>1592.0219999999999</v>
      </c>
      <c r="N19" s="21">
        <v>130.38</v>
      </c>
      <c r="O19" s="371">
        <v>360.27800000000002</v>
      </c>
      <c r="P19" s="370">
        <f>SUM(C19:O19)</f>
        <v>14415.371999999999</v>
      </c>
      <c r="Q19" s="49"/>
      <c r="R19" s="103">
        <v>3720.68</v>
      </c>
      <c r="S19" s="20">
        <v>317.36900000000003</v>
      </c>
      <c r="T19" s="100">
        <v>2733.2550000000001</v>
      </c>
      <c r="U19" s="50"/>
      <c r="V19" s="113">
        <v>2456.7559999999999</v>
      </c>
      <c r="W19" s="405">
        <f t="shared" ref="W19:W29" si="1">SUM(R19:V19)</f>
        <v>9228.06</v>
      </c>
      <c r="X19" s="57"/>
      <c r="Y19" s="976">
        <v>11887.822</v>
      </c>
      <c r="Z19" s="1634"/>
      <c r="AA19" s="1635"/>
      <c r="AB19" s="1636"/>
      <c r="AC19" s="2265"/>
      <c r="AD19" s="2197"/>
      <c r="AE19" s="2296"/>
      <c r="AF19" s="2319">
        <v>5187.3100000000004</v>
      </c>
      <c r="AG19" s="2308">
        <v>11685.534</v>
      </c>
      <c r="AH19" s="1832">
        <f>W19-V19-(IF(AND(Motpart!$Y$10="",Motpart!$Z$10=""),0,IF(AND(Motpart!$Y$10=0,Motpart!$Z$10=0),0,((T19/$T$30)*(Motpart!$Y$10+Motpart!$Z$10)))))</f>
        <v>6599.8642593703307</v>
      </c>
    </row>
    <row r="20" spans="1:34">
      <c r="A20" s="2085" t="s">
        <v>218</v>
      </c>
      <c r="B20" s="867" t="s">
        <v>57</v>
      </c>
      <c r="C20" s="20">
        <v>576.62</v>
      </c>
      <c r="D20" s="21">
        <v>231.21199999999999</v>
      </c>
      <c r="E20" s="20">
        <v>46.219000000000001</v>
      </c>
      <c r="F20" s="20">
        <v>83.534000000000006</v>
      </c>
      <c r="G20" s="20">
        <v>529.37699999999995</v>
      </c>
      <c r="H20" s="21">
        <v>891.57100000000003</v>
      </c>
      <c r="I20" s="20">
        <v>33.872999999999998</v>
      </c>
      <c r="J20" s="100">
        <v>25.972999999999999</v>
      </c>
      <c r="K20" s="31"/>
      <c r="L20" s="104">
        <v>36.911000000000001</v>
      </c>
      <c r="M20" s="23">
        <v>84.494</v>
      </c>
      <c r="N20" s="21">
        <v>9.5269999999999992</v>
      </c>
      <c r="O20" s="371">
        <v>51.747</v>
      </c>
      <c r="P20" s="370">
        <f t="shared" ref="P20:P29" si="2">SUM(C20:O20)</f>
        <v>2601.058</v>
      </c>
      <c r="Q20" s="49"/>
      <c r="R20" s="104">
        <v>5.4450000000000003</v>
      </c>
      <c r="S20" s="23">
        <v>6.7619999999999996</v>
      </c>
      <c r="T20" s="101">
        <v>375.38299999999998</v>
      </c>
      <c r="U20" s="50"/>
      <c r="V20" s="114">
        <v>58.978999999999999</v>
      </c>
      <c r="W20" s="405">
        <f t="shared" si="1"/>
        <v>446.56899999999996</v>
      </c>
      <c r="X20" s="57"/>
      <c r="Y20" s="996">
        <v>2517.3150000000001</v>
      </c>
      <c r="Z20" s="1634"/>
      <c r="AA20" s="1635"/>
      <c r="AB20" s="1636"/>
      <c r="AC20" s="2265"/>
      <c r="AD20" s="2197"/>
      <c r="AE20" s="2296"/>
      <c r="AF20" s="2319">
        <v>2154.4850000000001</v>
      </c>
      <c r="AG20" s="2308">
        <v>1566.9670000000001</v>
      </c>
      <c r="AH20" s="1832">
        <f>W20-V20-(IF(AND(Motpart!$Y$10="",Motpart!$Z$10=""),0,IF(AND(Motpart!$Y$10=0,Motpart!$Z$10=0),0,((T20/$T$30)*(Motpart!$Y$10+Motpart!$Z$10)))))</f>
        <v>364.04460662953608</v>
      </c>
    </row>
    <row r="21" spans="1:34">
      <c r="A21" s="2085" t="s">
        <v>659</v>
      </c>
      <c r="B21" s="867" t="s">
        <v>58</v>
      </c>
      <c r="C21" s="20">
        <v>131.12200000000001</v>
      </c>
      <c r="D21" s="21">
        <v>52.000999999999998</v>
      </c>
      <c r="E21" s="20">
        <v>2.7370000000000001</v>
      </c>
      <c r="F21" s="20">
        <v>7.5510000000000002</v>
      </c>
      <c r="G21" s="20">
        <v>26.731000000000002</v>
      </c>
      <c r="H21" s="21">
        <v>2.8130000000000002</v>
      </c>
      <c r="I21" s="20">
        <v>10.031000000000001</v>
      </c>
      <c r="J21" s="100">
        <v>0.223</v>
      </c>
      <c r="K21" s="31"/>
      <c r="L21" s="104">
        <v>4.8550000000000004</v>
      </c>
      <c r="M21" s="23">
        <v>23.324999999999999</v>
      </c>
      <c r="N21" s="21">
        <v>2.2839999999999998</v>
      </c>
      <c r="O21" s="371">
        <v>7.8970000000000002</v>
      </c>
      <c r="P21" s="370">
        <f t="shared" si="2"/>
        <v>271.57</v>
      </c>
      <c r="Q21" s="49"/>
      <c r="R21" s="104">
        <v>1.194</v>
      </c>
      <c r="S21" s="23">
        <v>5.0000000000000001E-3</v>
      </c>
      <c r="T21" s="101">
        <v>77.378</v>
      </c>
      <c r="U21" s="50"/>
      <c r="V21" s="114">
        <v>4.9989999999999997</v>
      </c>
      <c r="W21" s="405">
        <f t="shared" si="1"/>
        <v>83.575999999999993</v>
      </c>
      <c r="X21" s="57"/>
      <c r="Y21" s="996">
        <v>260.06700000000001</v>
      </c>
      <c r="Z21" s="1634"/>
      <c r="AA21" s="1635"/>
      <c r="AB21" s="1636"/>
      <c r="AC21" s="2265"/>
      <c r="AD21" s="2197"/>
      <c r="AE21" s="2296"/>
      <c r="AF21" s="2319">
        <v>187.99700000000001</v>
      </c>
      <c r="AG21" s="2308">
        <v>256.21800000000002</v>
      </c>
      <c r="AH21" s="1832">
        <f>W21-V21-(IF(AND(Motpart!$Y$10="",Motpart!$Z$10=""),0,IF(AND(Motpart!$Y$10=0,Motpart!$Z$10=0),0,((T21/$T$30)*(Motpart!$Y$10+Motpart!$Z$10)))))</f>
        <v>73.72356910883083</v>
      </c>
    </row>
    <row r="22" spans="1:34">
      <c r="A22" s="2085" t="s">
        <v>219</v>
      </c>
      <c r="B22" s="867" t="s">
        <v>59</v>
      </c>
      <c r="C22" s="20">
        <v>159.71</v>
      </c>
      <c r="D22" s="21">
        <v>62.892000000000003</v>
      </c>
      <c r="E22" s="20">
        <v>53.320999999999998</v>
      </c>
      <c r="F22" s="20">
        <v>133.39099999999999</v>
      </c>
      <c r="G22" s="20">
        <v>167.01900000000001</v>
      </c>
      <c r="H22" s="21">
        <v>282.62200000000001</v>
      </c>
      <c r="I22" s="20">
        <v>11.920999999999999</v>
      </c>
      <c r="J22" s="100">
        <v>51.776000000000003</v>
      </c>
      <c r="K22" s="31"/>
      <c r="L22" s="104">
        <v>24.954999999999998</v>
      </c>
      <c r="M22" s="23">
        <v>27.175000000000001</v>
      </c>
      <c r="N22" s="21">
        <v>2.3820000000000001</v>
      </c>
      <c r="O22" s="371">
        <v>20.018999999999998</v>
      </c>
      <c r="P22" s="370">
        <f t="shared" si="2"/>
        <v>997.18299999999988</v>
      </c>
      <c r="Q22" s="49"/>
      <c r="R22" s="104">
        <v>59.356999999999999</v>
      </c>
      <c r="S22" s="23">
        <v>25.971</v>
      </c>
      <c r="T22" s="101">
        <v>87.706999999999994</v>
      </c>
      <c r="U22" s="50"/>
      <c r="V22" s="114">
        <v>11.629</v>
      </c>
      <c r="W22" s="405">
        <f t="shared" si="1"/>
        <v>184.66399999999999</v>
      </c>
      <c r="X22" s="57"/>
      <c r="Y22" s="996">
        <v>980.39599999999996</v>
      </c>
      <c r="Z22" s="1637"/>
      <c r="AA22" s="1635"/>
      <c r="AB22" s="1636"/>
      <c r="AC22" s="2265"/>
      <c r="AD22" s="2197"/>
      <c r="AE22" s="2296"/>
      <c r="AF22" s="2319">
        <v>812.52499999999998</v>
      </c>
      <c r="AG22" s="2308">
        <v>569.524</v>
      </c>
      <c r="AH22" s="1832">
        <f>W22-V22-(IF(AND(Motpart!$Y$10="",Motpart!$Z$10=""),0,IF(AND(Motpart!$Y$10=0,Motpart!$Z$10=0),0,((T22/$T$30)*(Motpart!$Y$10+Motpart!$Z$10)))))</f>
        <v>167.53369648773844</v>
      </c>
    </row>
    <row r="23" spans="1:34">
      <c r="A23" s="2085" t="s">
        <v>220</v>
      </c>
      <c r="B23" s="875" t="s">
        <v>845</v>
      </c>
      <c r="C23" s="20">
        <v>1947.0730000000001</v>
      </c>
      <c r="D23" s="21">
        <v>787.30499999999995</v>
      </c>
      <c r="E23" s="20">
        <v>3986.79</v>
      </c>
      <c r="F23" s="20">
        <v>3402.5410000000002</v>
      </c>
      <c r="G23" s="20">
        <v>2767.6889999999999</v>
      </c>
      <c r="H23" s="21">
        <v>1019.199</v>
      </c>
      <c r="I23" s="20">
        <v>110.67</v>
      </c>
      <c r="J23" s="100">
        <v>5871.9059999999999</v>
      </c>
      <c r="K23" s="31"/>
      <c r="L23" s="104">
        <v>302.58499999999998</v>
      </c>
      <c r="M23" s="23">
        <v>2365.1950000000002</v>
      </c>
      <c r="N23" s="21">
        <v>81.052000000000007</v>
      </c>
      <c r="O23" s="371">
        <v>556.596</v>
      </c>
      <c r="P23" s="370">
        <f t="shared" si="2"/>
        <v>23198.600999999999</v>
      </c>
      <c r="Q23" s="49"/>
      <c r="R23" s="104">
        <v>3715.393</v>
      </c>
      <c r="S23" s="23">
        <v>19.193000000000001</v>
      </c>
      <c r="T23" s="101">
        <v>2461.848</v>
      </c>
      <c r="U23" s="50"/>
      <c r="V23" s="114">
        <v>2748.2910000000002</v>
      </c>
      <c r="W23" s="405">
        <f t="shared" si="1"/>
        <v>8944.7250000000004</v>
      </c>
      <c r="X23" s="57"/>
      <c r="Y23" s="996">
        <v>20320.843000000001</v>
      </c>
      <c r="Z23" s="1637"/>
      <c r="AA23" s="1635"/>
      <c r="AB23" s="1636"/>
      <c r="AC23" s="2265"/>
      <c r="AD23" s="2197"/>
      <c r="AE23" s="2296"/>
      <c r="AF23" s="2319">
        <v>14253.859</v>
      </c>
      <c r="AG23" s="2308">
        <v>16028.57</v>
      </c>
      <c r="AH23" s="1832">
        <f>W23-V23-(IF(AND(Motpart!$Y$10="",Motpart!$Z$10=""),0,IF(AND(Motpart!$Y$10=0,Motpart!$Z$10=0),0,((T23/$T$30)*(Motpart!$Y$10+Motpart!$Z$10)))))</f>
        <v>6042.0178981032977</v>
      </c>
    </row>
    <row r="24" spans="1:34">
      <c r="A24" s="2085" t="s">
        <v>221</v>
      </c>
      <c r="B24" s="867" t="s">
        <v>18</v>
      </c>
      <c r="C24" s="20">
        <v>1065.5050000000001</v>
      </c>
      <c r="D24" s="21">
        <v>423.95100000000002</v>
      </c>
      <c r="E24" s="20">
        <v>800.59299999999996</v>
      </c>
      <c r="F24" s="20">
        <v>1219.9749999999999</v>
      </c>
      <c r="G24" s="20">
        <v>602.101</v>
      </c>
      <c r="H24" s="21">
        <v>16.289000000000001</v>
      </c>
      <c r="I24" s="20">
        <v>37.265999999999998</v>
      </c>
      <c r="J24" s="100">
        <v>1107.8420000000001</v>
      </c>
      <c r="K24" s="31"/>
      <c r="L24" s="104">
        <v>95.710999999999999</v>
      </c>
      <c r="M24" s="23">
        <v>1373.364</v>
      </c>
      <c r="N24" s="21">
        <v>31.675000000000001</v>
      </c>
      <c r="O24" s="371">
        <v>144.524</v>
      </c>
      <c r="P24" s="370">
        <f t="shared" si="2"/>
        <v>6918.7960000000003</v>
      </c>
      <c r="Q24" s="49"/>
      <c r="R24" s="104">
        <v>19.876999999999999</v>
      </c>
      <c r="S24" s="23">
        <v>4.8410000000000002</v>
      </c>
      <c r="T24" s="101">
        <v>464.98099999999999</v>
      </c>
      <c r="U24" s="50"/>
      <c r="V24" s="114">
        <v>969.08600000000001</v>
      </c>
      <c r="W24" s="405">
        <f t="shared" si="1"/>
        <v>1458.7850000000001</v>
      </c>
      <c r="X24" s="57"/>
      <c r="Y24" s="996">
        <v>5912.0079999999998</v>
      </c>
      <c r="Z24" s="1637"/>
      <c r="AA24" s="1635"/>
      <c r="AB24" s="1636"/>
      <c r="AC24" s="2265"/>
      <c r="AD24" s="2197"/>
      <c r="AE24" s="2296"/>
      <c r="AF24" s="2319">
        <v>5460.0169999999998</v>
      </c>
      <c r="AG24" s="2308">
        <v>4713.4530000000004</v>
      </c>
      <c r="AH24" s="1832">
        <f>W24-V24-(IF(AND(Motpart!$Y$10="",Motpart!$Z$10=""),0,IF(AND(Motpart!$Y$10=0,Motpart!$Z$10=0),0,((T24/$T$30)*(Motpart!$Y$10+Motpart!$Z$10)))))</f>
        <v>460.5336926877572</v>
      </c>
    </row>
    <row r="25" spans="1:34">
      <c r="A25" s="2085" t="s">
        <v>222</v>
      </c>
      <c r="B25" s="867" t="s">
        <v>61</v>
      </c>
      <c r="C25" s="20">
        <v>1484.3579999999999</v>
      </c>
      <c r="D25" s="21">
        <v>592.34400000000005</v>
      </c>
      <c r="E25" s="20">
        <v>47.076999999999998</v>
      </c>
      <c r="F25" s="20">
        <v>145.44900000000001</v>
      </c>
      <c r="G25" s="20">
        <v>214.15299999999999</v>
      </c>
      <c r="H25" s="21">
        <v>10.218999999999999</v>
      </c>
      <c r="I25" s="20">
        <v>37.744999999999997</v>
      </c>
      <c r="J25" s="100">
        <v>14.929</v>
      </c>
      <c r="K25" s="31"/>
      <c r="L25" s="104">
        <v>68.981999999999999</v>
      </c>
      <c r="M25" s="23">
        <v>230.59299999999999</v>
      </c>
      <c r="N25" s="21">
        <v>19.786000000000001</v>
      </c>
      <c r="O25" s="371">
        <v>88.503</v>
      </c>
      <c r="P25" s="370">
        <f t="shared" si="2"/>
        <v>2954.1380000000004</v>
      </c>
      <c r="Q25" s="49"/>
      <c r="R25" s="104">
        <v>954.995</v>
      </c>
      <c r="S25" s="23">
        <v>0.28199999999999997</v>
      </c>
      <c r="T25" s="101">
        <v>288.09100000000001</v>
      </c>
      <c r="U25" s="50"/>
      <c r="V25" s="114">
        <v>265.23599999999999</v>
      </c>
      <c r="W25" s="405">
        <f t="shared" si="1"/>
        <v>1508.6039999999998</v>
      </c>
      <c r="X25" s="57"/>
      <c r="Y25" s="996">
        <v>2664.6680000000001</v>
      </c>
      <c r="Z25" s="1621"/>
      <c r="AA25" s="1635"/>
      <c r="AB25" s="1636"/>
      <c r="AC25" s="2265"/>
      <c r="AD25" s="2197"/>
      <c r="AE25" s="2296"/>
      <c r="AF25" s="2319">
        <v>1445.5419999999999</v>
      </c>
      <c r="AG25" s="2308">
        <v>2533.2469999999998</v>
      </c>
      <c r="AH25" s="1832">
        <f>W25-V25-(IF(AND(Motpart!$Y$10="",Motpart!$Z$10=""),0,IF(AND(Motpart!$Y$10=0,Motpart!$Z$10=0),0,((T25/$T$30)*(Motpart!$Y$10+Motpart!$Z$10)))))</f>
        <v>1225.2978798254308</v>
      </c>
    </row>
    <row r="26" spans="1:34">
      <c r="A26" s="2085" t="s">
        <v>223</v>
      </c>
      <c r="B26" s="867" t="s">
        <v>62</v>
      </c>
      <c r="C26" s="20">
        <v>566.58399999999995</v>
      </c>
      <c r="D26" s="21">
        <v>224.68600000000001</v>
      </c>
      <c r="E26" s="20">
        <v>235.06100000000001</v>
      </c>
      <c r="F26" s="20">
        <v>56.499000000000002</v>
      </c>
      <c r="G26" s="20">
        <v>421.65699999999998</v>
      </c>
      <c r="H26" s="21">
        <v>56.356999999999999</v>
      </c>
      <c r="I26" s="20">
        <v>16.733000000000001</v>
      </c>
      <c r="J26" s="100">
        <v>54.57</v>
      </c>
      <c r="K26" s="31"/>
      <c r="L26" s="104">
        <v>27.303000000000001</v>
      </c>
      <c r="M26" s="23">
        <v>168.76599999999999</v>
      </c>
      <c r="N26" s="21">
        <v>6.899</v>
      </c>
      <c r="O26" s="371">
        <v>60.38</v>
      </c>
      <c r="P26" s="370">
        <f t="shared" si="2"/>
        <v>1895.4949999999999</v>
      </c>
      <c r="Q26" s="49"/>
      <c r="R26" s="104">
        <v>60.238999999999997</v>
      </c>
      <c r="S26" s="23">
        <v>1.738</v>
      </c>
      <c r="T26" s="101">
        <v>489.75900000000001</v>
      </c>
      <c r="U26" s="50"/>
      <c r="V26" s="114">
        <v>85.41</v>
      </c>
      <c r="W26" s="405">
        <f t="shared" si="1"/>
        <v>637.14599999999996</v>
      </c>
      <c r="X26" s="57"/>
      <c r="Y26" s="996">
        <v>1784.5530000000001</v>
      </c>
      <c r="Z26" s="1638"/>
      <c r="AA26" s="1625"/>
      <c r="AB26" s="1625"/>
      <c r="AC26" s="2263"/>
      <c r="AD26" s="2197"/>
      <c r="AE26" s="2296"/>
      <c r="AF26" s="2319">
        <v>1258.3530000000001</v>
      </c>
      <c r="AG26" s="2308">
        <v>1697.231</v>
      </c>
      <c r="AH26" s="1832">
        <f>W26-V26-(IF(AND(Motpart!$Y$10="",Motpart!$Z$10=""),0,IF(AND(Motpart!$Y$10=0,Motpart!$Z$10=0),0,((T26/$T$30)*(Motpart!$Y$10+Motpart!$Z$10)))))</f>
        <v>521.01652599152055</v>
      </c>
    </row>
    <row r="27" spans="1:34">
      <c r="A27" s="2085" t="s">
        <v>224</v>
      </c>
      <c r="B27" s="867" t="s">
        <v>63</v>
      </c>
      <c r="C27" s="20">
        <v>127.717</v>
      </c>
      <c r="D27" s="21">
        <v>50.125</v>
      </c>
      <c r="E27" s="20">
        <v>2.0230000000000001</v>
      </c>
      <c r="F27" s="20">
        <v>11.523</v>
      </c>
      <c r="G27" s="20">
        <v>23.876999999999999</v>
      </c>
      <c r="H27" s="21">
        <v>2.1520000000000001</v>
      </c>
      <c r="I27" s="20">
        <v>1.4510000000000001</v>
      </c>
      <c r="J27" s="100">
        <v>0.52100000000000002</v>
      </c>
      <c r="K27" s="31"/>
      <c r="L27" s="104">
        <v>4.9379999999999997</v>
      </c>
      <c r="M27" s="23">
        <v>34.155999999999999</v>
      </c>
      <c r="N27" s="21">
        <v>2.3919999999999999</v>
      </c>
      <c r="O27" s="371">
        <v>7.7530000000000001</v>
      </c>
      <c r="P27" s="370">
        <f t="shared" si="2"/>
        <v>268.62799999999993</v>
      </c>
      <c r="Q27" s="49"/>
      <c r="R27" s="104">
        <v>99.435000000000002</v>
      </c>
      <c r="S27" s="23">
        <v>4.0000000000000001E-3</v>
      </c>
      <c r="T27" s="101">
        <v>18.792999999999999</v>
      </c>
      <c r="U27" s="50"/>
      <c r="V27" s="114">
        <v>20.638000000000002</v>
      </c>
      <c r="W27" s="405">
        <f t="shared" si="1"/>
        <v>138.87</v>
      </c>
      <c r="X27" s="57"/>
      <c r="Y27" s="996">
        <v>244.97800000000001</v>
      </c>
      <c r="Z27" s="1624"/>
      <c r="AA27" s="1625"/>
      <c r="AB27" s="1625"/>
      <c r="AC27" s="2263"/>
      <c r="AD27" s="2197"/>
      <c r="AE27" s="2296"/>
      <c r="AF27" s="2319">
        <v>129.755</v>
      </c>
      <c r="AG27" s="2308">
        <v>234.31700000000001</v>
      </c>
      <c r="AH27" s="1832">
        <f>W27-V27-(IF(AND(Motpart!$Y$10="",Motpart!$Z$10=""),0,IF(AND(Motpart!$Y$10=0,Motpart!$Z$10=0),0,((T27/$T$30)*(Motpart!$Y$10+Motpart!$Z$10)))))</f>
        <v>117.05323437233139</v>
      </c>
    </row>
    <row r="28" spans="1:34">
      <c r="A28" s="2085" t="s">
        <v>225</v>
      </c>
      <c r="B28" s="867" t="s">
        <v>19</v>
      </c>
      <c r="C28" s="20">
        <v>1610.2329999999999</v>
      </c>
      <c r="D28" s="21">
        <v>642.01499999999999</v>
      </c>
      <c r="E28" s="20">
        <v>157.14699999999999</v>
      </c>
      <c r="F28" s="20">
        <v>4599.6480000000001</v>
      </c>
      <c r="G28" s="20">
        <v>315.41899999999998</v>
      </c>
      <c r="H28" s="21">
        <v>945.06399999999996</v>
      </c>
      <c r="I28" s="20">
        <v>108.196</v>
      </c>
      <c r="J28" s="100">
        <v>208.34399999999999</v>
      </c>
      <c r="K28" s="31"/>
      <c r="L28" s="104">
        <v>225.89400000000001</v>
      </c>
      <c r="M28" s="23">
        <v>174.13</v>
      </c>
      <c r="N28" s="21">
        <v>29.757999999999999</v>
      </c>
      <c r="O28" s="371">
        <v>115.42</v>
      </c>
      <c r="P28" s="370">
        <f t="shared" si="2"/>
        <v>9131.2679999999982</v>
      </c>
      <c r="Q28" s="49"/>
      <c r="R28" s="104">
        <v>127.59399999999999</v>
      </c>
      <c r="S28" s="23">
        <v>33.482999999999997</v>
      </c>
      <c r="T28" s="101">
        <v>453.39</v>
      </c>
      <c r="U28" s="50"/>
      <c r="V28" s="114">
        <v>175.101</v>
      </c>
      <c r="W28" s="405">
        <f t="shared" si="1"/>
        <v>789.56799999999998</v>
      </c>
      <c r="X28" s="57"/>
      <c r="Y28" s="996">
        <v>8813.5959999999995</v>
      </c>
      <c r="Z28" s="1624"/>
      <c r="AA28" s="1625"/>
      <c r="AB28" s="1625"/>
      <c r="AC28" s="2263"/>
      <c r="AD28" s="2197"/>
      <c r="AE28" s="2296"/>
      <c r="AF28" s="2319">
        <v>8341.6970000000001</v>
      </c>
      <c r="AG28" s="2308">
        <v>3411.442</v>
      </c>
      <c r="AH28" s="1832">
        <f>W28-V28-(IF(AND(Motpart!$Y$10="",Motpart!$Z$10=""),0,IF(AND(Motpart!$Y$10=0,Motpart!$Z$10=0),0,((T28/$T$30)*(Motpart!$Y$10+Motpart!$Z$10)))))</f>
        <v>586.02872256006629</v>
      </c>
    </row>
    <row r="29" spans="1:34">
      <c r="A29" s="2085" t="s">
        <v>226</v>
      </c>
      <c r="B29" s="867" t="s">
        <v>64</v>
      </c>
      <c r="C29" s="20">
        <v>255.28</v>
      </c>
      <c r="D29" s="21">
        <v>101.527</v>
      </c>
      <c r="E29" s="20">
        <v>64.123999999999995</v>
      </c>
      <c r="F29" s="20">
        <v>17.699000000000002</v>
      </c>
      <c r="G29" s="20">
        <v>272.58100000000002</v>
      </c>
      <c r="H29" s="21">
        <v>6.8179999999999996</v>
      </c>
      <c r="I29" s="20">
        <v>4.2489999999999997</v>
      </c>
      <c r="J29" s="100">
        <v>25.933</v>
      </c>
      <c r="K29" s="31"/>
      <c r="L29" s="104">
        <v>9.5079999999999991</v>
      </c>
      <c r="M29" s="23">
        <v>54.454999999999998</v>
      </c>
      <c r="N29" s="21">
        <v>3.395</v>
      </c>
      <c r="O29" s="371">
        <v>27.547999999999998</v>
      </c>
      <c r="P29" s="370">
        <f t="shared" si="2"/>
        <v>843.11700000000008</v>
      </c>
      <c r="Q29" s="49"/>
      <c r="R29" s="104">
        <v>8.52</v>
      </c>
      <c r="S29" s="23">
        <v>2.5680000000000001</v>
      </c>
      <c r="T29" s="101">
        <v>395.24299999999999</v>
      </c>
      <c r="U29" s="50"/>
      <c r="V29" s="114">
        <v>62.878999999999998</v>
      </c>
      <c r="W29" s="405">
        <f t="shared" si="1"/>
        <v>469.21000000000004</v>
      </c>
      <c r="X29" s="57"/>
      <c r="Y29" s="996">
        <v>757.91600000000005</v>
      </c>
      <c r="Z29" s="1632"/>
      <c r="AA29" s="1633"/>
      <c r="AB29" s="1633"/>
      <c r="AC29" s="2266"/>
      <c r="AD29" s="2197"/>
      <c r="AE29" s="2296"/>
      <c r="AF29" s="2319">
        <v>373.90899999999999</v>
      </c>
      <c r="AG29" s="2308">
        <v>755.72900000000004</v>
      </c>
      <c r="AH29" s="1832">
        <f>W29-V29-(IF(AND(Motpart!$Y$10="",Motpart!$Z$10=""),0,IF(AND(Motpart!$Y$10=0,Motpart!$Z$10=0),0,((T29/$T$30)*(Motpart!$Y$10+Motpart!$Z$10)))))</f>
        <v>381.53991486316039</v>
      </c>
    </row>
    <row r="30" spans="1:34" ht="12.75" customHeight="1" thickBot="1">
      <c r="A30" s="2100" t="s">
        <v>227</v>
      </c>
      <c r="B30" s="867" t="s">
        <v>65</v>
      </c>
      <c r="C30" s="363">
        <f t="shared" ref="C30:M30" si="3">SUM(C19:C29)</f>
        <v>12317.636000000002</v>
      </c>
      <c r="D30" s="26">
        <f t="shared" si="3"/>
        <v>4900.4490000000005</v>
      </c>
      <c r="E30" s="26">
        <f t="shared" si="3"/>
        <v>6455.0579999999991</v>
      </c>
      <c r="F30" s="374">
        <f t="shared" si="3"/>
        <v>9830.5329999999994</v>
      </c>
      <c r="G30" s="375">
        <f t="shared" si="3"/>
        <v>7840.0560000000005</v>
      </c>
      <c r="H30" s="376">
        <f t="shared" si="3"/>
        <v>3353.4640000000004</v>
      </c>
      <c r="I30" s="363">
        <f t="shared" si="3"/>
        <v>1212.2079999999999</v>
      </c>
      <c r="J30" s="105">
        <f t="shared" si="3"/>
        <v>8443.5410000000011</v>
      </c>
      <c r="K30" s="148"/>
      <c r="L30" s="372">
        <f>SUM(L19:L29)</f>
        <v>1254.4110000000001</v>
      </c>
      <c r="M30" s="363">
        <f t="shared" si="3"/>
        <v>6127.6750000000002</v>
      </c>
      <c r="N30" s="26">
        <f t="shared" ref="N30:W30" si="4">SUM(N19:N29)</f>
        <v>319.52999999999997</v>
      </c>
      <c r="O30" s="26">
        <f t="shared" si="4"/>
        <v>1440.6650000000002</v>
      </c>
      <c r="P30" s="105">
        <f t="shared" si="4"/>
        <v>63495.225999999995</v>
      </c>
      <c r="Q30" s="49"/>
      <c r="R30" s="372">
        <f t="shared" si="4"/>
        <v>8772.7289999999994</v>
      </c>
      <c r="S30" s="363">
        <f t="shared" si="4"/>
        <v>412.21600000000001</v>
      </c>
      <c r="T30" s="105">
        <f t="shared" si="4"/>
        <v>7845.8280000000004</v>
      </c>
      <c r="U30" s="49"/>
      <c r="V30" s="117">
        <f t="shared" si="4"/>
        <v>6859.003999999999</v>
      </c>
      <c r="W30" s="118">
        <f t="shared" si="4"/>
        <v>23889.776999999995</v>
      </c>
      <c r="X30" s="57"/>
      <c r="Y30" s="1640">
        <v>56144.135000000002</v>
      </c>
      <c r="Z30" s="977">
        <f>(P30-W30)*1000/invanare</f>
        <v>3789.1517160869266</v>
      </c>
      <c r="AA30" s="977">
        <f>Y30*1000/invanare</f>
        <v>5371.4489004648349</v>
      </c>
      <c r="AB30" s="977">
        <v>5001.0829999999996</v>
      </c>
      <c r="AC30" s="2264">
        <f>IF(ISERROR((AA30-AB30)/AB30)," ",((AA30-AB30)/AB30))</f>
        <v>7.4057139316591081E-2</v>
      </c>
      <c r="AD30" s="2197"/>
      <c r="AE30" s="2297">
        <f>IF(ISERROR(F30/(AA30/1000*invanare)),"",(F30/(AA30/100000*invanare)))</f>
        <v>17.50945668679373</v>
      </c>
      <c r="AF30" s="2319">
        <v>39605.451000000001</v>
      </c>
      <c r="AG30" s="2309">
        <v>43452.243000000002</v>
      </c>
      <c r="AH30" s="1834">
        <f>W30-V30-SUM(Motpart!Y10:Z10)</f>
        <v>16538.653999999995</v>
      </c>
    </row>
    <row r="31" spans="1:34" ht="37.5" customHeight="1" thickBot="1">
      <c r="A31" s="2095"/>
      <c r="B31" s="870" t="s">
        <v>66</v>
      </c>
      <c r="C31" s="910"/>
      <c r="D31" s="911"/>
      <c r="E31" s="912"/>
      <c r="F31" s="913"/>
      <c r="G31" s="914"/>
      <c r="H31" s="915"/>
      <c r="I31" s="914"/>
      <c r="J31" s="916"/>
      <c r="K31" s="31"/>
      <c r="L31" s="943"/>
      <c r="M31" s="914"/>
      <c r="N31" s="911"/>
      <c r="O31" s="911"/>
      <c r="P31" s="916"/>
      <c r="Q31" s="50"/>
      <c r="R31" s="943"/>
      <c r="S31" s="914"/>
      <c r="T31" s="916"/>
      <c r="U31" s="50"/>
      <c r="V31" s="958"/>
      <c r="W31" s="959"/>
      <c r="X31" s="31"/>
      <c r="Y31" s="1641" t="s">
        <v>970</v>
      </c>
      <c r="Z31" s="2532"/>
      <c r="AA31" s="2533"/>
      <c r="AB31" s="2533"/>
      <c r="AC31" s="2534"/>
      <c r="AD31" s="2197"/>
      <c r="AE31" s="2296">
        <f>IF(ISERROR(F30/(AA30/1000*invanare)),"",(SUM(Motpart!D10,Motpart!F10)/(AA30/100000*invanare)))</f>
        <v>6.892939039848061</v>
      </c>
      <c r="AF31" s="2322"/>
      <c r="AG31" s="2311"/>
      <c r="AH31" s="1835"/>
    </row>
    <row r="32" spans="1:34" ht="9" customHeight="1">
      <c r="A32" s="2102"/>
      <c r="B32" s="871" t="s">
        <v>67</v>
      </c>
      <c r="C32" s="917"/>
      <c r="D32" s="918"/>
      <c r="E32" s="919"/>
      <c r="F32" s="920"/>
      <c r="G32" s="921"/>
      <c r="H32" s="922"/>
      <c r="I32" s="921"/>
      <c r="J32" s="923"/>
      <c r="K32" s="31"/>
      <c r="L32" s="944"/>
      <c r="M32" s="921"/>
      <c r="N32" s="918"/>
      <c r="O32" s="918"/>
      <c r="P32" s="923"/>
      <c r="Q32" s="50"/>
      <c r="R32" s="944"/>
      <c r="S32" s="921"/>
      <c r="T32" s="923"/>
      <c r="U32" s="50"/>
      <c r="V32" s="960"/>
      <c r="W32" s="961"/>
      <c r="X32" s="31"/>
      <c r="Y32" s="1496"/>
      <c r="Z32" s="971"/>
      <c r="AA32" s="972"/>
      <c r="AB32" s="973"/>
      <c r="AC32" s="2267"/>
      <c r="AD32" s="2197"/>
      <c r="AE32" s="2296"/>
      <c r="AF32" s="2323"/>
      <c r="AG32" s="2312"/>
      <c r="AH32" s="1836"/>
    </row>
    <row r="33" spans="1:34" ht="12" customHeight="1">
      <c r="A33" s="2085" t="s">
        <v>228</v>
      </c>
      <c r="B33" s="869" t="s">
        <v>68</v>
      </c>
      <c r="C33" s="20">
        <v>10.138999999999999</v>
      </c>
      <c r="D33" s="21">
        <v>4.032</v>
      </c>
      <c r="E33" s="451">
        <v>1.038</v>
      </c>
      <c r="F33" s="452">
        <v>1.845</v>
      </c>
      <c r="G33" s="20">
        <v>4.3609999999999998</v>
      </c>
      <c r="H33" s="453">
        <v>574.49699999999996</v>
      </c>
      <c r="I33" s="20">
        <v>2.6779999999999999</v>
      </c>
      <c r="J33" s="100">
        <v>0.245</v>
      </c>
      <c r="K33" s="31"/>
      <c r="L33" s="103">
        <v>6.87</v>
      </c>
      <c r="M33" s="20">
        <v>3.3340000000000001</v>
      </c>
      <c r="N33" s="21">
        <v>0.61</v>
      </c>
      <c r="O33" s="371">
        <v>1.161</v>
      </c>
      <c r="P33" s="370">
        <f>SUM(C33:O33)</f>
        <v>610.80999999999983</v>
      </c>
      <c r="Q33" s="49"/>
      <c r="R33" s="103">
        <v>6.2E-2</v>
      </c>
      <c r="S33" s="20">
        <v>0.67400000000000004</v>
      </c>
      <c r="T33" s="100">
        <v>2.9710000000000001</v>
      </c>
      <c r="U33" s="50"/>
      <c r="V33" s="113">
        <v>2.1309999999999998</v>
      </c>
      <c r="W33" s="405">
        <f>SUM(R33:V33)</f>
        <v>5.8379999999999992</v>
      </c>
      <c r="X33" s="57"/>
      <c r="Y33" s="976">
        <v>608.59900000000005</v>
      </c>
      <c r="Z33" s="971"/>
      <c r="AA33" s="971"/>
      <c r="AB33" s="971"/>
      <c r="AC33" s="2268"/>
      <c r="AD33" s="2197"/>
      <c r="AE33" s="2296"/>
      <c r="AF33" s="2319">
        <v>604.96500000000003</v>
      </c>
      <c r="AG33" s="2308">
        <v>32.334000000000003</v>
      </c>
      <c r="AH33" s="1832">
        <f>W33-V33-(IF(AND(Motpart!$Y$11="",Motpart!$Z$11=""),0,IF(AND(Motpart!$Y$11=0,Motpart!$Z$11=0),0,((T33/$T$37)*(Motpart!$Y$11+Motpart!$Z$11)))))</f>
        <v>3.6600930127657878</v>
      </c>
    </row>
    <row r="34" spans="1:34">
      <c r="A34" s="2085" t="s">
        <v>229</v>
      </c>
      <c r="B34" s="867" t="s">
        <v>69</v>
      </c>
      <c r="C34" s="20">
        <v>1285.83</v>
      </c>
      <c r="D34" s="21">
        <v>503.45800000000003</v>
      </c>
      <c r="E34" s="20">
        <v>220.964</v>
      </c>
      <c r="F34" s="20">
        <v>148.584</v>
      </c>
      <c r="G34" s="20">
        <v>716.88499999999999</v>
      </c>
      <c r="H34" s="24">
        <v>1334.65</v>
      </c>
      <c r="I34" s="23">
        <v>306.77699999999999</v>
      </c>
      <c r="J34" s="101">
        <v>114.252</v>
      </c>
      <c r="K34" s="31"/>
      <c r="L34" s="104">
        <v>680.24</v>
      </c>
      <c r="M34" s="23">
        <v>337.65</v>
      </c>
      <c r="N34" s="21">
        <v>19.305</v>
      </c>
      <c r="O34" s="371">
        <v>124.431</v>
      </c>
      <c r="P34" s="370">
        <f>SUM(C34:O34)</f>
        <v>5793.0259999999989</v>
      </c>
      <c r="Q34" s="49"/>
      <c r="R34" s="104">
        <v>74.129000000000005</v>
      </c>
      <c r="S34" s="23">
        <v>70.486999999999995</v>
      </c>
      <c r="T34" s="101">
        <v>695.6</v>
      </c>
      <c r="U34" s="50"/>
      <c r="V34" s="114">
        <v>295.81</v>
      </c>
      <c r="W34" s="405">
        <f>SUM(R34:V34)</f>
        <v>1136.0260000000001</v>
      </c>
      <c r="X34" s="57"/>
      <c r="Y34" s="996">
        <v>5488.9279999999999</v>
      </c>
      <c r="Z34" s="971"/>
      <c r="AA34" s="971"/>
      <c r="AB34" s="971"/>
      <c r="AC34" s="2268"/>
      <c r="AD34" s="2197"/>
      <c r="AE34" s="2296"/>
      <c r="AF34" s="2319">
        <v>4657.0069999999996</v>
      </c>
      <c r="AG34" s="2308">
        <v>4013.9830000000002</v>
      </c>
      <c r="AH34" s="1832">
        <f>W34-V34-(IF(AND(Motpart!$Y$11="",Motpart!$Z$11=""),0,IF(AND(Motpart!$Y$11=0,Motpart!$Z$11=0),0,((T34/$T$37)*(Motpart!$Y$11+Motpart!$Z$11)))))</f>
        <v>829.23367071015912</v>
      </c>
    </row>
    <row r="35" spans="1:34">
      <c r="A35" s="2085" t="s">
        <v>230</v>
      </c>
      <c r="B35" s="867" t="s">
        <v>70</v>
      </c>
      <c r="C35" s="20">
        <v>1941.2650000000001</v>
      </c>
      <c r="D35" s="21">
        <v>766.76300000000003</v>
      </c>
      <c r="E35" s="23">
        <v>617.37300000000005</v>
      </c>
      <c r="F35" s="23">
        <v>40.427999999999997</v>
      </c>
      <c r="G35" s="23">
        <v>454.19499999999999</v>
      </c>
      <c r="H35" s="24">
        <v>4.4669999999999996</v>
      </c>
      <c r="I35" s="23">
        <v>349.59300000000002</v>
      </c>
      <c r="J35" s="101">
        <v>109.348</v>
      </c>
      <c r="K35" s="31"/>
      <c r="L35" s="104">
        <v>597.61300000000006</v>
      </c>
      <c r="M35" s="23">
        <v>277.61</v>
      </c>
      <c r="N35" s="21">
        <v>37.704000000000001</v>
      </c>
      <c r="O35" s="371">
        <v>173.32900000000001</v>
      </c>
      <c r="P35" s="370">
        <f>SUM(C35:O35)</f>
        <v>5369.6880000000001</v>
      </c>
      <c r="Q35" s="49"/>
      <c r="R35" s="104">
        <v>33.002000000000002</v>
      </c>
      <c r="S35" s="23">
        <v>3.5019999999999998</v>
      </c>
      <c r="T35" s="101">
        <v>363.613</v>
      </c>
      <c r="U35" s="50"/>
      <c r="V35" s="114">
        <v>197.15100000000001</v>
      </c>
      <c r="W35" s="405">
        <f>SUM(R35:V35)</f>
        <v>597.26800000000003</v>
      </c>
      <c r="X35" s="57"/>
      <c r="Y35" s="996">
        <v>5164.8940000000002</v>
      </c>
      <c r="Z35" s="971"/>
      <c r="AA35" s="971"/>
      <c r="AB35" s="971"/>
      <c r="AC35" s="2268"/>
      <c r="AD35" s="2197"/>
      <c r="AE35" s="2296"/>
      <c r="AF35" s="2319">
        <v>4772.442</v>
      </c>
      <c r="AG35" s="2308">
        <v>5127.6679999999997</v>
      </c>
      <c r="AH35" s="1832">
        <f>W35-V35-(IF(AND(Motpart!$Y$11="",Motpart!$Z$11=""),0,IF(AND(Motpart!$Y$11=0,Motpart!$Z$11=0),0,((T35/$T$37)*(Motpart!$Y$11+Motpart!$Z$11)))))</f>
        <v>394.37617524429709</v>
      </c>
    </row>
    <row r="36" spans="1:34">
      <c r="A36" s="2085" t="s">
        <v>231</v>
      </c>
      <c r="B36" s="867" t="s">
        <v>71</v>
      </c>
      <c r="C36" s="20">
        <v>1734.3040000000001</v>
      </c>
      <c r="D36" s="21">
        <v>678.83699999999999</v>
      </c>
      <c r="E36" s="23">
        <v>85.418000000000006</v>
      </c>
      <c r="F36" s="23">
        <v>92.182000000000002</v>
      </c>
      <c r="G36" s="23">
        <v>159.405</v>
      </c>
      <c r="H36" s="24">
        <v>16.545999999999999</v>
      </c>
      <c r="I36" s="23">
        <v>99.200999999999993</v>
      </c>
      <c r="J36" s="101">
        <v>28.082000000000001</v>
      </c>
      <c r="K36" s="31"/>
      <c r="L36" s="104">
        <v>236.018</v>
      </c>
      <c r="M36" s="23">
        <v>178.4</v>
      </c>
      <c r="N36" s="21">
        <v>17.274999999999999</v>
      </c>
      <c r="O36" s="371">
        <v>111.538</v>
      </c>
      <c r="P36" s="370">
        <f>SUM(C36:O36)</f>
        <v>3437.2060000000001</v>
      </c>
      <c r="Q36" s="49"/>
      <c r="R36" s="104">
        <v>237.81700000000001</v>
      </c>
      <c r="S36" s="23">
        <v>3.2690000000000001</v>
      </c>
      <c r="T36" s="101">
        <v>197.041</v>
      </c>
      <c r="U36" s="50"/>
      <c r="V36" s="114">
        <v>140.40299999999999</v>
      </c>
      <c r="W36" s="405">
        <f>SUM(R36:V36)</f>
        <v>578.53</v>
      </c>
      <c r="X36" s="57"/>
      <c r="Y36" s="996">
        <v>3292.9650000000001</v>
      </c>
      <c r="Z36" s="978">
        <f>(P36-W36)*1000/invanare</f>
        <v>273.4966360597632</v>
      </c>
      <c r="AA36" s="978">
        <f>Y36*1000/inv7_15</f>
        <v>2929.7310811027223</v>
      </c>
      <c r="AB36" s="978">
        <v>2843.0610000000001</v>
      </c>
      <c r="AC36" s="2269">
        <f>IF(ISERROR((AA36-AB36)/AB36)," ",((AA36-AB36)/AB36))</f>
        <v>3.0484777183015833E-2</v>
      </c>
      <c r="AD36" s="2197"/>
      <c r="AE36" s="2296"/>
      <c r="AF36" s="2319">
        <v>2858.6880000000001</v>
      </c>
      <c r="AG36" s="2308">
        <v>3188.085</v>
      </c>
      <c r="AH36" s="1832">
        <f>W36-V36-(IF(AND(Motpart!$Y$11="",Motpart!$Z$11=""),0,IF(AND(Motpart!$Y$11=0,Motpart!$Z$11=0),0,((T36/$T$37)*(Motpart!$Y$11+Motpart!$Z$11)))))</f>
        <v>435.01606103277805</v>
      </c>
    </row>
    <row r="37" spans="1:34">
      <c r="A37" s="2085" t="s">
        <v>232</v>
      </c>
      <c r="B37" s="867" t="s">
        <v>72</v>
      </c>
      <c r="C37" s="363">
        <f t="shared" ref="C37:M37" si="5">SUM(C33:C36)</f>
        <v>4971.5380000000005</v>
      </c>
      <c r="D37" s="26">
        <f t="shared" si="5"/>
        <v>1953.0900000000001</v>
      </c>
      <c r="E37" s="363">
        <f t="shared" si="5"/>
        <v>924.79300000000001</v>
      </c>
      <c r="F37" s="363">
        <f t="shared" si="5"/>
        <v>283.03899999999999</v>
      </c>
      <c r="G37" s="363">
        <f t="shared" si="5"/>
        <v>1334.846</v>
      </c>
      <c r="H37" s="26">
        <f t="shared" si="5"/>
        <v>1930.16</v>
      </c>
      <c r="I37" s="363">
        <f t="shared" si="5"/>
        <v>758.24900000000002</v>
      </c>
      <c r="J37" s="105">
        <f t="shared" si="5"/>
        <v>251.92699999999999</v>
      </c>
      <c r="K37" s="148"/>
      <c r="L37" s="372">
        <f>SUM(L33:L36)</f>
        <v>1520.741</v>
      </c>
      <c r="M37" s="363">
        <f t="shared" si="5"/>
        <v>796.99400000000003</v>
      </c>
      <c r="N37" s="26">
        <f t="shared" ref="N37:W37" si="6">SUM(N33:N36)</f>
        <v>74.894000000000005</v>
      </c>
      <c r="O37" s="26">
        <f t="shared" si="6"/>
        <v>410.459</v>
      </c>
      <c r="P37" s="105">
        <f t="shared" si="6"/>
        <v>15210.729999999998</v>
      </c>
      <c r="Q37" s="49"/>
      <c r="R37" s="372">
        <f t="shared" si="6"/>
        <v>345.01</v>
      </c>
      <c r="S37" s="363">
        <f t="shared" si="6"/>
        <v>77.932000000000002</v>
      </c>
      <c r="T37" s="105">
        <f t="shared" si="6"/>
        <v>1259.2249999999999</v>
      </c>
      <c r="U37" s="49"/>
      <c r="V37" s="117">
        <f t="shared" si="6"/>
        <v>635.495</v>
      </c>
      <c r="W37" s="118">
        <f t="shared" si="6"/>
        <v>2317.6620000000003</v>
      </c>
      <c r="X37" s="57"/>
      <c r="Y37" s="976">
        <v>14555.388000000001</v>
      </c>
      <c r="Z37" s="979">
        <f>(P37-W37)*1000/invanare</f>
        <v>1233.5118518117401</v>
      </c>
      <c r="AA37" s="980">
        <f>Y37*1000/invanare</f>
        <v>1392.5501366872791</v>
      </c>
      <c r="AB37" s="980">
        <v>1353.364</v>
      </c>
      <c r="AC37" s="2270">
        <f>IF(ISERROR((AA37-AB37)/AB37)," ",((AA37-AB37)/AB37))</f>
        <v>2.8954617299764906E-2</v>
      </c>
      <c r="AD37" s="2197"/>
      <c r="AE37" s="2296"/>
      <c r="AF37" s="2319">
        <v>12893.088</v>
      </c>
      <c r="AG37" s="2308">
        <v>12362.078</v>
      </c>
      <c r="AH37" s="1832">
        <f>W37-V37-SUM(Motpart!Y11:Z11)</f>
        <v>1662.2860000000003</v>
      </c>
    </row>
    <row r="38" spans="1:34" ht="9" customHeight="1">
      <c r="A38" s="2102"/>
      <c r="B38" s="871" t="s">
        <v>73</v>
      </c>
      <c r="C38" s="924"/>
      <c r="D38" s="925"/>
      <c r="E38" s="926"/>
      <c r="F38" s="926"/>
      <c r="G38" s="926"/>
      <c r="H38" s="925"/>
      <c r="I38" s="926"/>
      <c r="J38" s="927"/>
      <c r="K38" s="31"/>
      <c r="L38" s="945"/>
      <c r="M38" s="926"/>
      <c r="N38" s="925"/>
      <c r="O38" s="925"/>
      <c r="P38" s="927"/>
      <c r="Q38" s="50"/>
      <c r="R38" s="945"/>
      <c r="S38" s="926"/>
      <c r="T38" s="927"/>
      <c r="U38" s="50"/>
      <c r="V38" s="962"/>
      <c r="W38" s="963"/>
      <c r="X38" s="31"/>
      <c r="Y38" s="1496"/>
      <c r="Z38" s="971"/>
      <c r="AA38" s="972"/>
      <c r="AB38" s="973"/>
      <c r="AC38" s="2267"/>
      <c r="AD38" s="2197"/>
      <c r="AE38" s="2296"/>
      <c r="AF38" s="2319">
        <f t="shared" ref="AF38" si="7">P38-W38</f>
        <v>0</v>
      </c>
      <c r="AG38" s="2308">
        <f t="shared" ref="AG38:AG62" si="8">P38-F38-H38-V38</f>
        <v>0</v>
      </c>
      <c r="AH38" s="1832"/>
    </row>
    <row r="39" spans="1:34" ht="11.25" customHeight="1">
      <c r="A39" s="2085" t="s">
        <v>233</v>
      </c>
      <c r="B39" s="869" t="s">
        <v>74</v>
      </c>
      <c r="C39" s="20">
        <v>384.01499999999999</v>
      </c>
      <c r="D39" s="21">
        <v>152.18600000000001</v>
      </c>
      <c r="E39" s="20">
        <v>73.08</v>
      </c>
      <c r="F39" s="20">
        <v>59.021000000000001</v>
      </c>
      <c r="G39" s="20">
        <v>139.28299999999999</v>
      </c>
      <c r="H39" s="21">
        <v>1790.807</v>
      </c>
      <c r="I39" s="20">
        <v>86.338999999999999</v>
      </c>
      <c r="J39" s="100">
        <v>43.061</v>
      </c>
      <c r="K39" s="31"/>
      <c r="L39" s="103">
        <v>218.852</v>
      </c>
      <c r="M39" s="20">
        <v>114.12</v>
      </c>
      <c r="N39" s="21">
        <v>12.522</v>
      </c>
      <c r="O39" s="371">
        <v>36.26</v>
      </c>
      <c r="P39" s="370">
        <f>SUM(C39:O39)</f>
        <v>3109.5459999999998</v>
      </c>
      <c r="Q39" s="49"/>
      <c r="R39" s="103">
        <v>14.227</v>
      </c>
      <c r="S39" s="20">
        <v>20.957000000000001</v>
      </c>
      <c r="T39" s="100">
        <v>170.74700000000001</v>
      </c>
      <c r="U39" s="50"/>
      <c r="V39" s="113">
        <v>106.70099999999999</v>
      </c>
      <c r="W39" s="405">
        <f>SUM(R39:V39)</f>
        <v>312.63200000000001</v>
      </c>
      <c r="X39" s="57"/>
      <c r="Y39" s="996">
        <v>3001.2579999999998</v>
      </c>
      <c r="Z39" s="1643"/>
      <c r="AA39" s="1644"/>
      <c r="AB39" s="1644"/>
      <c r="AC39" s="2271"/>
      <c r="AD39" s="2197"/>
      <c r="AE39" s="2296"/>
      <c r="AF39" s="2319">
        <v>2796.91</v>
      </c>
      <c r="AG39" s="2308">
        <v>1153.008</v>
      </c>
      <c r="AH39" s="1832">
        <f>W39-V39-(IF(AND(Motpart!$Y$12="",Motpart!$Z$12=""),0,IF(AND(Motpart!$Y$12=0,Motpart!$Z$12=0),0,((T39/$T$42)*(Motpart!$Y$12+Motpart!$Z$12)))))</f>
        <v>202.52231373262885</v>
      </c>
    </row>
    <row r="40" spans="1:34">
      <c r="A40" s="2085" t="s">
        <v>234</v>
      </c>
      <c r="B40" s="867" t="s">
        <v>75</v>
      </c>
      <c r="C40" s="20">
        <v>1963.0840000000001</v>
      </c>
      <c r="D40" s="21">
        <v>772.30499999999995</v>
      </c>
      <c r="E40" s="23">
        <v>1242.6690000000001</v>
      </c>
      <c r="F40" s="23">
        <v>565.29999999999995</v>
      </c>
      <c r="G40" s="23">
        <v>859.24400000000003</v>
      </c>
      <c r="H40" s="24">
        <v>351.03199999999998</v>
      </c>
      <c r="I40" s="23">
        <v>1387.2360000000001</v>
      </c>
      <c r="J40" s="101">
        <v>1008.556</v>
      </c>
      <c r="K40" s="31"/>
      <c r="L40" s="104">
        <v>5148.24</v>
      </c>
      <c r="M40" s="23">
        <v>1100.0740000000001</v>
      </c>
      <c r="N40" s="21">
        <v>57.186</v>
      </c>
      <c r="O40" s="371">
        <v>423.78</v>
      </c>
      <c r="P40" s="370">
        <f>SUM(C40:O40)</f>
        <v>14878.706</v>
      </c>
      <c r="Q40" s="49"/>
      <c r="R40" s="104">
        <v>514.49</v>
      </c>
      <c r="S40" s="23">
        <v>379.63299999999998</v>
      </c>
      <c r="T40" s="101">
        <v>877.15700000000004</v>
      </c>
      <c r="U40" s="50"/>
      <c r="V40" s="114">
        <v>1315.3109999999999</v>
      </c>
      <c r="W40" s="405">
        <f>SUM(R40:V40)</f>
        <v>3086.5910000000003</v>
      </c>
      <c r="X40" s="57"/>
      <c r="Y40" s="996">
        <v>13542.539000000001</v>
      </c>
      <c r="Z40" s="1643"/>
      <c r="AA40" s="1644"/>
      <c r="AB40" s="1644"/>
      <c r="AC40" s="2271"/>
      <c r="AD40" s="2197"/>
      <c r="AE40" s="2296"/>
      <c r="AF40" s="2319">
        <v>11792.103999999999</v>
      </c>
      <c r="AG40" s="2308">
        <v>12647.043</v>
      </c>
      <c r="AH40" s="1832">
        <f>W40-V40-(IF(AND(Motpart!$Y$12="",Motpart!$Z$12=""),0,IF(AND(Motpart!$Y$12=0,Motpart!$Z$12=0),0,((T40/$T$42)*(Motpart!$Y$12+Motpart!$Z$12)))))</f>
        <v>1753.7689865108705</v>
      </c>
    </row>
    <row r="41" spans="1:34">
      <c r="A41" s="2085" t="s">
        <v>235</v>
      </c>
      <c r="B41" s="867" t="s">
        <v>76</v>
      </c>
      <c r="C41" s="20">
        <v>1209.9860000000001</v>
      </c>
      <c r="D41" s="21">
        <v>473.72199999999998</v>
      </c>
      <c r="E41" s="23">
        <v>142.291</v>
      </c>
      <c r="F41" s="23">
        <v>163.54599999999999</v>
      </c>
      <c r="G41" s="23">
        <v>163.70099999999999</v>
      </c>
      <c r="H41" s="24">
        <v>60.673999999999999</v>
      </c>
      <c r="I41" s="23">
        <v>105.91800000000001</v>
      </c>
      <c r="J41" s="101">
        <v>18.698</v>
      </c>
      <c r="K41" s="31"/>
      <c r="L41" s="104">
        <v>255.67</v>
      </c>
      <c r="M41" s="23">
        <v>215.60599999999999</v>
      </c>
      <c r="N41" s="21">
        <v>14.843</v>
      </c>
      <c r="O41" s="371">
        <v>83.405000000000001</v>
      </c>
      <c r="P41" s="370">
        <f>SUM(C41:O41)</f>
        <v>2908.06</v>
      </c>
      <c r="Q41" s="49"/>
      <c r="R41" s="104">
        <v>24.850999999999999</v>
      </c>
      <c r="S41" s="23">
        <v>6.843</v>
      </c>
      <c r="T41" s="101">
        <v>141.42400000000001</v>
      </c>
      <c r="U41" s="50"/>
      <c r="V41" s="114">
        <v>182.79</v>
      </c>
      <c r="W41" s="405">
        <f>SUM(R41:V41)</f>
        <v>355.90800000000002</v>
      </c>
      <c r="X41" s="57"/>
      <c r="Y41" s="996">
        <v>2723.9470000000001</v>
      </c>
      <c r="Z41" s="1643"/>
      <c r="AA41" s="1644"/>
      <c r="AB41" s="1644"/>
      <c r="AC41" s="2271"/>
      <c r="AD41" s="2197"/>
      <c r="AE41" s="2296"/>
      <c r="AF41" s="2319">
        <v>2552.134</v>
      </c>
      <c r="AG41" s="2308">
        <v>2501.0349999999999</v>
      </c>
      <c r="AH41" s="1832">
        <f>W41-V41-(IF(AND(Motpart!$Y$12="",Motpart!$Z$12=""),0,IF(AND(Motpart!$Y$12=0,Motpart!$Z$12=0),0,((T41/$T$42)*(Motpart!$Y$12+Motpart!$Z$12)))))</f>
        <v>170.29469975650116</v>
      </c>
    </row>
    <row r="42" spans="1:34">
      <c r="A42" s="2085" t="s">
        <v>236</v>
      </c>
      <c r="B42" s="867" t="s">
        <v>77</v>
      </c>
      <c r="C42" s="363">
        <f t="shared" ref="C42:W42" si="9">SUM(C39:C41)</f>
        <v>3557.085</v>
      </c>
      <c r="D42" s="26">
        <f t="shared" si="9"/>
        <v>1398.213</v>
      </c>
      <c r="E42" s="363">
        <f t="shared" si="9"/>
        <v>1458.04</v>
      </c>
      <c r="F42" s="363">
        <f t="shared" si="9"/>
        <v>787.86699999999996</v>
      </c>
      <c r="G42" s="363">
        <f t="shared" si="9"/>
        <v>1162.2280000000001</v>
      </c>
      <c r="H42" s="26">
        <f t="shared" si="9"/>
        <v>2202.5129999999999</v>
      </c>
      <c r="I42" s="363">
        <f t="shared" si="9"/>
        <v>1579.4929999999999</v>
      </c>
      <c r="J42" s="105">
        <f t="shared" si="9"/>
        <v>1070.3150000000001</v>
      </c>
      <c r="K42" s="148"/>
      <c r="L42" s="372">
        <f>SUM(L39:L41)</f>
        <v>5622.7619999999997</v>
      </c>
      <c r="M42" s="363">
        <f t="shared" si="9"/>
        <v>1429.8</v>
      </c>
      <c r="N42" s="26">
        <f t="shared" si="9"/>
        <v>84.551000000000002</v>
      </c>
      <c r="O42" s="26">
        <f t="shared" si="9"/>
        <v>543.44499999999994</v>
      </c>
      <c r="P42" s="370">
        <f>SUM(C42:O42)</f>
        <v>20896.311999999998</v>
      </c>
      <c r="Q42" s="49"/>
      <c r="R42" s="372">
        <f t="shared" si="9"/>
        <v>553.56799999999998</v>
      </c>
      <c r="S42" s="363">
        <f t="shared" si="9"/>
        <v>407.43299999999999</v>
      </c>
      <c r="T42" s="105">
        <f t="shared" si="9"/>
        <v>1189.328</v>
      </c>
      <c r="U42" s="49"/>
      <c r="V42" s="117">
        <f t="shared" si="9"/>
        <v>1604.8019999999999</v>
      </c>
      <c r="W42" s="118">
        <f t="shared" si="9"/>
        <v>3755.1310000000003</v>
      </c>
      <c r="X42" s="57"/>
      <c r="Y42" s="976">
        <v>19267.746999999999</v>
      </c>
      <c r="Z42" s="979">
        <f>(P42-W42)*1000/invanare</f>
        <v>1639.9393780867529</v>
      </c>
      <c r="AA42" s="980">
        <f>Y42*1000/invanare</f>
        <v>1843.393231324779</v>
      </c>
      <c r="AB42" s="980">
        <v>1808.961</v>
      </c>
      <c r="AC42" s="2270">
        <f>IF(ISERROR((AA42-AB42)/AB42)," ",((AA42-AB42)/AB42))</f>
        <v>1.9034258518994589E-2</v>
      </c>
      <c r="AD42" s="2197"/>
      <c r="AE42" s="2296"/>
      <c r="AF42" s="2319">
        <v>17141.151999999998</v>
      </c>
      <c r="AG42" s="2308">
        <v>16301.102999999999</v>
      </c>
      <c r="AH42" s="1832">
        <f>W42-V42-SUM(Motpart!Y12:Z12)</f>
        <v>2126.5860000000007</v>
      </c>
    </row>
    <row r="43" spans="1:34" ht="12.75" customHeight="1" thickBot="1">
      <c r="A43" s="2098" t="s">
        <v>237</v>
      </c>
      <c r="B43" s="872" t="s">
        <v>78</v>
      </c>
      <c r="C43" s="377">
        <f>SUM(C37,C42)</f>
        <v>8528.6229999999996</v>
      </c>
      <c r="D43" s="378">
        <f t="shared" ref="D43:P43" si="10">SUM(D37,D42)</f>
        <v>3351.3029999999999</v>
      </c>
      <c r="E43" s="377">
        <f t="shared" si="10"/>
        <v>2382.8330000000001</v>
      </c>
      <c r="F43" s="377">
        <f t="shared" si="10"/>
        <v>1070.9059999999999</v>
      </c>
      <c r="G43" s="377">
        <f t="shared" si="10"/>
        <v>2497.0740000000001</v>
      </c>
      <c r="H43" s="378">
        <f t="shared" si="10"/>
        <v>4132.6729999999998</v>
      </c>
      <c r="I43" s="377">
        <f t="shared" si="10"/>
        <v>2337.7420000000002</v>
      </c>
      <c r="J43" s="379">
        <f t="shared" si="10"/>
        <v>1322.242</v>
      </c>
      <c r="K43" s="148"/>
      <c r="L43" s="380">
        <f>SUM(L37,L42)</f>
        <v>7143.5029999999997</v>
      </c>
      <c r="M43" s="377">
        <f t="shared" si="10"/>
        <v>2226.7939999999999</v>
      </c>
      <c r="N43" s="378">
        <f t="shared" si="10"/>
        <v>159.44499999999999</v>
      </c>
      <c r="O43" s="378">
        <f t="shared" si="10"/>
        <v>953.904</v>
      </c>
      <c r="P43" s="379">
        <f t="shared" si="10"/>
        <v>36107.041999999994</v>
      </c>
      <c r="Q43" s="49"/>
      <c r="R43" s="380">
        <f>SUM(R37,R42)</f>
        <v>898.57799999999997</v>
      </c>
      <c r="S43" s="377">
        <f>SUM(S37,S42)</f>
        <v>485.36500000000001</v>
      </c>
      <c r="T43" s="379">
        <f>SUM(T37,T42)</f>
        <v>2448.5529999999999</v>
      </c>
      <c r="U43" s="49"/>
      <c r="V43" s="407">
        <f>SUM(V37,V42)</f>
        <v>2240.297</v>
      </c>
      <c r="W43" s="406">
        <f>SUM(W37,W42)</f>
        <v>6072.7930000000006</v>
      </c>
      <c r="X43" s="57"/>
      <c r="Y43" s="1003">
        <v>33823.129000000001</v>
      </c>
      <c r="Z43" s="981"/>
      <c r="AA43" s="982"/>
      <c r="AB43" s="983"/>
      <c r="AC43" s="2272"/>
      <c r="AD43" s="2197"/>
      <c r="AE43" s="2298"/>
      <c r="AF43" s="2320">
        <v>30034.237000000001</v>
      </c>
      <c r="AG43" s="2309">
        <v>28663.177</v>
      </c>
      <c r="AH43" s="1834">
        <f>AH37+AH42</f>
        <v>3788.8720000000012</v>
      </c>
    </row>
    <row r="44" spans="1:34" ht="48" customHeight="1" thickBot="1">
      <c r="A44" s="2102"/>
      <c r="B44" s="873" t="s">
        <v>79</v>
      </c>
      <c r="C44" s="985"/>
      <c r="D44" s="986"/>
      <c r="E44" s="987"/>
      <c r="F44" s="987"/>
      <c r="G44" s="987"/>
      <c r="H44" s="986"/>
      <c r="I44" s="987"/>
      <c r="J44" s="988"/>
      <c r="K44" s="32"/>
      <c r="L44" s="481"/>
      <c r="M44" s="482"/>
      <c r="N44" s="475"/>
      <c r="O44" s="475"/>
      <c r="P44" s="477"/>
      <c r="Q44" s="205"/>
      <c r="R44" s="481"/>
      <c r="S44" s="476"/>
      <c r="T44" s="477"/>
      <c r="U44" s="205"/>
      <c r="V44" s="485"/>
      <c r="W44" s="486"/>
      <c r="X44" s="32"/>
      <c r="Y44" s="1641" t="s">
        <v>971</v>
      </c>
      <c r="Z44" s="2535"/>
      <c r="AA44" s="2533"/>
      <c r="AB44" s="2533"/>
      <c r="AC44" s="2534"/>
      <c r="AD44" s="2197"/>
      <c r="AE44" s="2296"/>
      <c r="AF44" s="2324"/>
      <c r="AG44" s="2311"/>
      <c r="AH44" s="1835"/>
    </row>
    <row r="45" spans="1:34" ht="39.75" customHeight="1">
      <c r="A45" s="2103" t="s">
        <v>385</v>
      </c>
      <c r="B45" s="874" t="s">
        <v>537</v>
      </c>
      <c r="C45" s="989"/>
      <c r="D45" s="990"/>
      <c r="E45" s="991"/>
      <c r="F45" s="991"/>
      <c r="G45" s="991"/>
      <c r="H45" s="990"/>
      <c r="I45" s="991"/>
      <c r="J45" s="992"/>
      <c r="K45" s="32"/>
      <c r="L45" s="483"/>
      <c r="M45" s="484"/>
      <c r="N45" s="478"/>
      <c r="O45" s="478"/>
      <c r="P45" s="480"/>
      <c r="Q45" s="205"/>
      <c r="R45" s="483"/>
      <c r="S45" s="479"/>
      <c r="T45" s="480"/>
      <c r="U45" s="205"/>
      <c r="V45" s="487"/>
      <c r="W45" s="488"/>
      <c r="X45" s="32"/>
      <c r="Y45" s="1653"/>
      <c r="Z45" s="2536" t="s">
        <v>974</v>
      </c>
      <c r="AA45" s="2537"/>
      <c r="AB45" s="1662"/>
      <c r="AC45" s="2273"/>
      <c r="AD45" s="2197"/>
      <c r="AE45" s="2296"/>
      <c r="AF45" s="2325"/>
      <c r="AG45" s="2312"/>
      <c r="AH45" s="1836"/>
    </row>
    <row r="46" spans="1:34">
      <c r="A46" s="2085" t="s">
        <v>238</v>
      </c>
      <c r="B46" s="869" t="s">
        <v>80</v>
      </c>
      <c r="C46" s="20">
        <v>230.91399999999999</v>
      </c>
      <c r="D46" s="21">
        <v>91.225999999999999</v>
      </c>
      <c r="E46" s="20">
        <v>11.872</v>
      </c>
      <c r="F46" s="20">
        <v>19.169</v>
      </c>
      <c r="G46" s="20">
        <v>19.565999999999999</v>
      </c>
      <c r="H46" s="21">
        <v>0.36699999999999999</v>
      </c>
      <c r="I46" s="20">
        <v>36.280999999999999</v>
      </c>
      <c r="J46" s="100">
        <v>2.1120000000000001</v>
      </c>
      <c r="K46" s="31"/>
      <c r="L46" s="103">
        <v>47.728999999999999</v>
      </c>
      <c r="M46" s="20">
        <v>80.334999999999994</v>
      </c>
      <c r="N46" s="21">
        <v>2.14</v>
      </c>
      <c r="O46" s="371">
        <v>14.978</v>
      </c>
      <c r="P46" s="370">
        <f>SUM(C46:O46)</f>
        <v>556.68899999999996</v>
      </c>
      <c r="Q46" s="49"/>
      <c r="R46" s="103">
        <v>1.8660000000000001</v>
      </c>
      <c r="S46" s="20">
        <v>3.0129999999999999</v>
      </c>
      <c r="T46" s="100">
        <v>28.013000000000002</v>
      </c>
      <c r="U46" s="50"/>
      <c r="V46" s="113">
        <v>69.378</v>
      </c>
      <c r="W46" s="405">
        <f t="shared" ref="W46:W51" si="11">SUM(R46:V46)</f>
        <v>102.27000000000001</v>
      </c>
      <c r="X46" s="57"/>
      <c r="Y46" s="976">
        <v>484.87</v>
      </c>
      <c r="Z46" s="1621"/>
      <c r="AA46" s="1635"/>
      <c r="AB46" s="1636"/>
      <c r="AC46" s="2265"/>
      <c r="AD46" s="2197"/>
      <c r="AE46" s="2296"/>
      <c r="AF46" s="2319">
        <v>454.43</v>
      </c>
      <c r="AG46" s="2308">
        <v>467.77</v>
      </c>
      <c r="AH46" s="1832">
        <f>W46-V46-(IF(AND(Motpart!$Y$16="",Motpart!$Z$16=""),0,IF(AND(Motpart!$Y$16=0,Motpart!$Z$16=0),0,((T46/($T$46+$T$49))*(Motpart!$Y$16+Motpart!$Z$16)))))</f>
        <v>30.46292864626291</v>
      </c>
    </row>
    <row r="47" spans="1:34">
      <c r="A47" s="2085" t="s">
        <v>239</v>
      </c>
      <c r="B47" s="867" t="s">
        <v>81</v>
      </c>
      <c r="C47" s="20">
        <v>34564.449000000001</v>
      </c>
      <c r="D47" s="21">
        <v>13642.184999999999</v>
      </c>
      <c r="E47" s="23">
        <v>2145.4989999999998</v>
      </c>
      <c r="F47" s="23">
        <v>16952.349999999999</v>
      </c>
      <c r="G47" s="23">
        <v>1934.614</v>
      </c>
      <c r="H47" s="24">
        <v>12.75</v>
      </c>
      <c r="I47" s="23">
        <v>2508.8870000000002</v>
      </c>
      <c r="J47" s="101">
        <v>440.53699999999998</v>
      </c>
      <c r="K47" s="31"/>
      <c r="L47" s="104">
        <v>5534.9219999999996</v>
      </c>
      <c r="M47" s="23">
        <v>13551.035</v>
      </c>
      <c r="N47" s="21">
        <v>358.26600000000002</v>
      </c>
      <c r="O47" s="371">
        <v>2234.7359999999999</v>
      </c>
      <c r="P47" s="370">
        <f>SUM(C47:O47)</f>
        <v>93880.230000000025</v>
      </c>
      <c r="Q47" s="49"/>
      <c r="R47" s="1888">
        <v>5131.1509999999998</v>
      </c>
      <c r="S47" s="1889">
        <v>23.395</v>
      </c>
      <c r="T47" s="223">
        <v>6576.5439999999999</v>
      </c>
      <c r="U47" s="50"/>
      <c r="V47" s="114">
        <v>9499.1640000000007</v>
      </c>
      <c r="W47" s="405">
        <f t="shared" si="11"/>
        <v>21230.254000000001</v>
      </c>
      <c r="X47" s="57"/>
      <c r="Y47" s="976">
        <v>83942.486999999994</v>
      </c>
      <c r="Z47" s="1638"/>
      <c r="AA47" s="1625"/>
      <c r="AB47" s="1625"/>
      <c r="AC47" s="2263"/>
      <c r="AD47" s="2197"/>
      <c r="AE47" s="2296"/>
      <c r="AF47" s="2319">
        <v>72649.975000000006</v>
      </c>
      <c r="AG47" s="2308">
        <v>67415.971999999994</v>
      </c>
      <c r="AH47" s="1832">
        <f>W47-V47-SUM(Motpart!Y13:Z13)</f>
        <v>11292.513999999999</v>
      </c>
    </row>
    <row r="48" spans="1:34">
      <c r="A48" s="2085" t="s">
        <v>240</v>
      </c>
      <c r="B48" s="867" t="s">
        <v>82</v>
      </c>
      <c r="C48" s="23">
        <v>287.346</v>
      </c>
      <c r="D48" s="21">
        <v>111.747</v>
      </c>
      <c r="E48" s="23">
        <v>6.4429999999999996</v>
      </c>
      <c r="F48" s="23">
        <v>609.90800000000002</v>
      </c>
      <c r="G48" s="23">
        <v>29.693999999999999</v>
      </c>
      <c r="H48" s="24">
        <v>0.45600000000000002</v>
      </c>
      <c r="I48" s="27">
        <v>4.9210000000000003</v>
      </c>
      <c r="J48" s="101">
        <v>0.72299999999999998</v>
      </c>
      <c r="K48" s="31"/>
      <c r="L48" s="104">
        <v>11.852</v>
      </c>
      <c r="M48" s="23">
        <v>72.768000000000001</v>
      </c>
      <c r="N48" s="21">
        <v>3.2370000000000001</v>
      </c>
      <c r="O48" s="371">
        <v>15.991</v>
      </c>
      <c r="P48" s="370">
        <f>SUM(C48:O48)</f>
        <v>1155.086</v>
      </c>
      <c r="Q48" s="49"/>
      <c r="R48" s="1888">
        <v>59.280999999999999</v>
      </c>
      <c r="S48" s="1889">
        <v>4.3999999999999997E-2</v>
      </c>
      <c r="T48" s="223">
        <v>59.908000000000001</v>
      </c>
      <c r="U48" s="50"/>
      <c r="V48" s="114">
        <v>63.506</v>
      </c>
      <c r="W48" s="405">
        <f t="shared" si="11"/>
        <v>182.739</v>
      </c>
      <c r="X48" s="57"/>
      <c r="Y48" s="996">
        <v>1087.329</v>
      </c>
      <c r="Z48" s="1624"/>
      <c r="AA48" s="1625"/>
      <c r="AB48" s="1625"/>
      <c r="AC48" s="2263"/>
      <c r="AD48" s="2197"/>
      <c r="AE48" s="2299">
        <f>(SUM(I51:L51))*1000/invanare</f>
        <v>1069.3167243348514</v>
      </c>
      <c r="AF48" s="2319">
        <v>972.36</v>
      </c>
      <c r="AG48" s="2308">
        <v>481.22399999999999</v>
      </c>
      <c r="AH48" s="1832">
        <f>W48-V48-SUM(Motpart!Y14:Z14)</f>
        <v>114.96900000000001</v>
      </c>
    </row>
    <row r="49" spans="1:34">
      <c r="A49" s="2085" t="s">
        <v>241</v>
      </c>
      <c r="B49" s="869" t="s">
        <v>83</v>
      </c>
      <c r="C49" s="20">
        <v>117.733</v>
      </c>
      <c r="D49" s="21">
        <v>46.23</v>
      </c>
      <c r="E49" s="20">
        <v>11.093</v>
      </c>
      <c r="F49" s="20">
        <v>69.727000000000004</v>
      </c>
      <c r="G49" s="20">
        <v>7.5709999999999997</v>
      </c>
      <c r="H49" s="21">
        <v>1.605</v>
      </c>
      <c r="I49" s="20">
        <v>1.4950000000000001</v>
      </c>
      <c r="J49" s="100">
        <v>0.28100000000000003</v>
      </c>
      <c r="K49" s="31"/>
      <c r="L49" s="103">
        <v>21.512</v>
      </c>
      <c r="M49" s="20">
        <v>61.351999999999997</v>
      </c>
      <c r="N49" s="21">
        <v>4.5510000000000002</v>
      </c>
      <c r="O49" s="371">
        <v>7.5510000000000002</v>
      </c>
      <c r="P49" s="370">
        <f>SUM(C49:O49)</f>
        <v>350.70099999999991</v>
      </c>
      <c r="Q49" s="49"/>
      <c r="R49" s="1890">
        <v>43.523000000000003</v>
      </c>
      <c r="S49" s="1891">
        <v>1.2999999999999999E-2</v>
      </c>
      <c r="T49" s="226">
        <v>16.847999999999999</v>
      </c>
      <c r="U49" s="50"/>
      <c r="V49" s="113">
        <v>56.226999999999997</v>
      </c>
      <c r="W49" s="405">
        <f t="shared" si="11"/>
        <v>116.61099999999999</v>
      </c>
      <c r="X49" s="57"/>
      <c r="Y49" s="996">
        <v>293.029</v>
      </c>
      <c r="Z49" s="1624"/>
      <c r="AA49" s="1625"/>
      <c r="AB49" s="1625"/>
      <c r="AC49" s="2263"/>
      <c r="AD49" s="2197"/>
      <c r="AE49" s="2299">
        <f>(R51)*1000/invanare</f>
        <v>798.69246328520558</v>
      </c>
      <c r="AF49" s="2319">
        <v>234.09200000000001</v>
      </c>
      <c r="AG49" s="2308">
        <v>223.143</v>
      </c>
      <c r="AH49" s="1832">
        <f>W49-V49-(IF(AND(Motpart!$Y$16="",Motpart!$Z$16=""),0,IF(AND(Motpart!$Y$16=0,Motpart!$Z$16=0),0,((T49/($T$49+$T$46))*(Motpart!$Y$16+Motpart!$Z$16)))))</f>
        <v>58.923071353737093</v>
      </c>
    </row>
    <row r="50" spans="1:34">
      <c r="A50" s="2085" t="s">
        <v>242</v>
      </c>
      <c r="B50" s="867" t="s">
        <v>84</v>
      </c>
      <c r="C50" s="20">
        <v>8971.2170000000006</v>
      </c>
      <c r="D50" s="21">
        <v>3533.116</v>
      </c>
      <c r="E50" s="23">
        <v>393.01600000000002</v>
      </c>
      <c r="F50" s="23">
        <v>2533.866</v>
      </c>
      <c r="G50" s="23">
        <v>441.25900000000001</v>
      </c>
      <c r="H50" s="24">
        <v>3.3530000000000002</v>
      </c>
      <c r="I50" s="27">
        <v>676.096</v>
      </c>
      <c r="J50" s="101">
        <v>77.676000000000002</v>
      </c>
      <c r="K50" s="31"/>
      <c r="L50" s="104">
        <v>1811.8230000000001</v>
      </c>
      <c r="M50" s="23">
        <v>4130.9949999999999</v>
      </c>
      <c r="N50" s="21">
        <v>98.331000000000003</v>
      </c>
      <c r="O50" s="371">
        <v>585.76400000000001</v>
      </c>
      <c r="P50" s="370">
        <f>SUM(C50:O50)</f>
        <v>23256.511999999995</v>
      </c>
      <c r="Q50" s="49"/>
      <c r="R50" s="1888">
        <v>3112.373</v>
      </c>
      <c r="S50" s="1889">
        <v>1.167</v>
      </c>
      <c r="T50" s="223">
        <v>1198.5920000000001</v>
      </c>
      <c r="U50" s="50"/>
      <c r="V50" s="114">
        <v>2787.9989999999998</v>
      </c>
      <c r="W50" s="405">
        <f t="shared" si="11"/>
        <v>7100.1309999999994</v>
      </c>
      <c r="X50" s="57"/>
      <c r="Y50" s="996">
        <v>20288.810000000001</v>
      </c>
      <c r="Z50" s="1624"/>
      <c r="AA50" s="1625"/>
      <c r="AB50" s="1625"/>
      <c r="AC50" s="2263"/>
      <c r="AD50" s="2197"/>
      <c r="AE50" s="2296"/>
      <c r="AF50" s="2319">
        <v>16156.355</v>
      </c>
      <c r="AG50" s="2308">
        <v>17931.277999999998</v>
      </c>
      <c r="AH50" s="1832">
        <f>W50-V50-SUM(Motpart!Y15:Z15)</f>
        <v>4132.4519999999993</v>
      </c>
    </row>
    <row r="51" spans="1:34" ht="13.5" thickBot="1">
      <c r="A51" s="2085" t="s">
        <v>243</v>
      </c>
      <c r="B51" s="875" t="s">
        <v>755</v>
      </c>
      <c r="C51" s="363">
        <f t="shared" ref="C51:M51" si="12">SUM(C46:C50)</f>
        <v>44171.659</v>
      </c>
      <c r="D51" s="26">
        <f t="shared" si="12"/>
        <v>17424.504000000001</v>
      </c>
      <c r="E51" s="363">
        <f t="shared" si="12"/>
        <v>2567.9229999999998</v>
      </c>
      <c r="F51" s="363">
        <f t="shared" si="12"/>
        <v>20185.019999999997</v>
      </c>
      <c r="G51" s="363">
        <f t="shared" si="12"/>
        <v>2432.7039999999997</v>
      </c>
      <c r="H51" s="26">
        <f t="shared" si="12"/>
        <v>18.531000000000002</v>
      </c>
      <c r="I51" s="363">
        <f t="shared" si="12"/>
        <v>3227.68</v>
      </c>
      <c r="J51" s="105">
        <f t="shared" si="12"/>
        <v>521.32900000000006</v>
      </c>
      <c r="K51" s="148"/>
      <c r="L51" s="372">
        <f>SUM(L46:L50)</f>
        <v>7427.8379999999997</v>
      </c>
      <c r="M51" s="363">
        <f t="shared" si="12"/>
        <v>17896.485000000001</v>
      </c>
      <c r="N51" s="26">
        <f t="shared" ref="N51:V51" si="13">SUM(N46:N50)</f>
        <v>466.52500000000003</v>
      </c>
      <c r="O51" s="26">
        <f t="shared" si="13"/>
        <v>2859.02</v>
      </c>
      <c r="P51" s="105">
        <f t="shared" si="13"/>
        <v>119199.21800000002</v>
      </c>
      <c r="Q51" s="49"/>
      <c r="R51" s="372">
        <f t="shared" si="13"/>
        <v>8348.1939999999995</v>
      </c>
      <c r="S51" s="363">
        <f t="shared" si="13"/>
        <v>27.632000000000005</v>
      </c>
      <c r="T51" s="105">
        <f>SUM(T46:T50)</f>
        <v>7879.9050000000007</v>
      </c>
      <c r="U51" s="49"/>
      <c r="V51" s="117">
        <f t="shared" si="13"/>
        <v>12476.274000000001</v>
      </c>
      <c r="W51" s="405">
        <f t="shared" si="11"/>
        <v>28732.005000000001</v>
      </c>
      <c r="X51" s="57"/>
      <c r="Y51" s="976">
        <v>106096.523</v>
      </c>
      <c r="Z51" s="1657">
        <f>(P51-W51)*1000/invanare</f>
        <v>8655.2230575280591</v>
      </c>
      <c r="AA51" s="1658">
        <f>Y51*1000/invanare</f>
        <v>10150.517980399771</v>
      </c>
      <c r="AB51" s="1658">
        <v>10012.166999999999</v>
      </c>
      <c r="AC51" s="2274">
        <f>IF(ISERROR((AA51-AB51)/AB51)," ",((AA51-AB51)/AB51))</f>
        <v>1.3818285332213425E-2</v>
      </c>
      <c r="AD51" s="2197"/>
      <c r="AE51" s="2300">
        <f>IF(ISERROR(F51/(AA51/1000*invanare)),"",(F51/(AA51/100000*invanare)))</f>
        <v>19.025147506483314</v>
      </c>
      <c r="AF51" s="2319">
        <v>90467.202000000005</v>
      </c>
      <c r="AG51" s="2308">
        <v>86519.383000000002</v>
      </c>
      <c r="AH51" s="1832">
        <f>W51-V51-SUM(Motpart!Y13:Z16)</f>
        <v>15629.321</v>
      </c>
    </row>
    <row r="52" spans="1:34" ht="44.25" customHeight="1" thickBot="1">
      <c r="A52" s="2104"/>
      <c r="B52" s="873" t="s">
        <v>85</v>
      </c>
      <c r="C52" s="474"/>
      <c r="D52" s="473"/>
      <c r="E52" s="471"/>
      <c r="F52" s="471"/>
      <c r="G52" s="471"/>
      <c r="H52" s="473"/>
      <c r="I52" s="471"/>
      <c r="J52" s="472"/>
      <c r="K52" s="31"/>
      <c r="L52" s="470"/>
      <c r="M52" s="471"/>
      <c r="N52" s="473"/>
      <c r="O52" s="489"/>
      <c r="P52" s="472"/>
      <c r="Q52" s="50"/>
      <c r="R52" s="470"/>
      <c r="S52" s="471"/>
      <c r="T52" s="472"/>
      <c r="U52" s="50"/>
      <c r="V52" s="468"/>
      <c r="W52" s="469"/>
      <c r="X52" s="31"/>
      <c r="Y52" s="1641" t="s">
        <v>613</v>
      </c>
      <c r="Z52" s="2535"/>
      <c r="AA52" s="2533"/>
      <c r="AB52" s="2533"/>
      <c r="AC52" s="2534"/>
      <c r="AD52" s="2197"/>
      <c r="AE52" s="2296">
        <f>IF(ISERROR(F51/(AA51/1000*invanare)),"",(SUM(Motpart!D13:D16,Motpart!F13:F16)/(AA51/100000*invanare)))</f>
        <v>18.355756107106359</v>
      </c>
      <c r="AF52" s="2326"/>
      <c r="AG52" s="2313"/>
      <c r="AH52" s="1837"/>
    </row>
    <row r="53" spans="1:34">
      <c r="A53" s="2085" t="s">
        <v>392</v>
      </c>
      <c r="B53" s="859" t="s">
        <v>477</v>
      </c>
      <c r="C53" s="20">
        <v>3313.8049999999998</v>
      </c>
      <c r="D53" s="21">
        <v>1305.027</v>
      </c>
      <c r="E53" s="20">
        <v>193.06200000000001</v>
      </c>
      <c r="F53" s="20">
        <v>1184.5340000000001</v>
      </c>
      <c r="G53" s="20">
        <v>302.75400000000002</v>
      </c>
      <c r="H53" s="21">
        <v>1.0609999999999999</v>
      </c>
      <c r="I53" s="20">
        <v>340.173</v>
      </c>
      <c r="J53" s="100">
        <v>48.737000000000002</v>
      </c>
      <c r="K53" s="31"/>
      <c r="L53" s="103">
        <v>846.97299999999996</v>
      </c>
      <c r="M53" s="20">
        <v>1637.796</v>
      </c>
      <c r="N53" s="21">
        <v>50.177999999999997</v>
      </c>
      <c r="O53" s="371">
        <v>227.83099999999999</v>
      </c>
      <c r="P53" s="370">
        <f>SUM(C53:O53)</f>
        <v>9451.9309999999987</v>
      </c>
      <c r="Q53" s="49"/>
      <c r="R53" s="103">
        <v>0.74399999999999999</v>
      </c>
      <c r="S53" s="20">
        <v>0.49099999999999999</v>
      </c>
      <c r="T53" s="100">
        <v>493.51499999999999</v>
      </c>
      <c r="U53" s="50"/>
      <c r="V53" s="113">
        <v>1203.7080000000001</v>
      </c>
      <c r="W53" s="405">
        <f>SUM(R53:V53)</f>
        <v>1698.4580000000001</v>
      </c>
      <c r="X53" s="57"/>
      <c r="Y53" s="1497">
        <v>8193.44</v>
      </c>
      <c r="Z53" s="1905"/>
      <c r="AA53" s="1906"/>
      <c r="AB53" s="1907"/>
      <c r="AC53" s="2275"/>
      <c r="AD53" s="2197"/>
      <c r="AE53" s="2296"/>
      <c r="AF53" s="2325">
        <v>7753.4830000000002</v>
      </c>
      <c r="AG53" s="2312">
        <v>7062.643</v>
      </c>
      <c r="AH53" s="1836">
        <f>W53-V53-SUM(Motpart!Y17:Z17)</f>
        <v>439.95600000000002</v>
      </c>
    </row>
    <row r="54" spans="1:34">
      <c r="A54" s="2085" t="s">
        <v>476</v>
      </c>
      <c r="B54" s="857" t="s">
        <v>374</v>
      </c>
      <c r="C54" s="20">
        <v>56011.794999999998</v>
      </c>
      <c r="D54" s="21">
        <v>22144.942999999999</v>
      </c>
      <c r="E54" s="23">
        <v>4558.3620000000001</v>
      </c>
      <c r="F54" s="23">
        <v>20797.413</v>
      </c>
      <c r="G54" s="23">
        <v>8120.1530000000002</v>
      </c>
      <c r="H54" s="24">
        <v>51.49</v>
      </c>
      <c r="I54" s="23">
        <v>4010.1179999999999</v>
      </c>
      <c r="J54" s="101">
        <v>1215.4259999999999</v>
      </c>
      <c r="K54" s="31"/>
      <c r="L54" s="104">
        <v>9979.0560000000005</v>
      </c>
      <c r="M54" s="23">
        <v>22070.710999999999</v>
      </c>
      <c r="N54" s="21">
        <v>607.19399999999996</v>
      </c>
      <c r="O54" s="371">
        <v>3973.5390000000002</v>
      </c>
      <c r="P54" s="370">
        <f>SUM(C54:O54)</f>
        <v>153540.19999999998</v>
      </c>
      <c r="Q54" s="49"/>
      <c r="R54" s="104">
        <v>36.655999999999999</v>
      </c>
      <c r="S54" s="23">
        <v>34.567</v>
      </c>
      <c r="T54" s="101">
        <v>14324.502</v>
      </c>
      <c r="U54" s="50"/>
      <c r="V54" s="114">
        <v>16074.289000000001</v>
      </c>
      <c r="W54" s="405">
        <f>SUM(R54:V54)</f>
        <v>30470.014000000003</v>
      </c>
      <c r="X54" s="57"/>
      <c r="Y54" s="1497">
        <v>135924.13099999999</v>
      </c>
      <c r="Z54" s="1654"/>
      <c r="AA54" s="1655"/>
      <c r="AB54" s="1908"/>
      <c r="AC54" s="2262"/>
      <c r="AD54" s="2197"/>
      <c r="AE54" s="2296"/>
      <c r="AF54" s="2319">
        <v>123070.173</v>
      </c>
      <c r="AG54" s="2308">
        <v>116616.99099999999</v>
      </c>
      <c r="AH54" s="1836">
        <f>W54-V54-SUM(Motpart!Y18:Z18)</f>
        <v>12853.951000000003</v>
      </c>
    </row>
    <row r="55" spans="1:34">
      <c r="A55" s="2085" t="s">
        <v>244</v>
      </c>
      <c r="B55" s="875" t="s">
        <v>614</v>
      </c>
      <c r="C55" s="20">
        <v>3225.8420000000001</v>
      </c>
      <c r="D55" s="21">
        <v>1270.5920000000001</v>
      </c>
      <c r="E55" s="23">
        <v>119.699</v>
      </c>
      <c r="F55" s="23">
        <v>685.78899999999999</v>
      </c>
      <c r="G55" s="23">
        <v>776.10900000000004</v>
      </c>
      <c r="H55" s="24">
        <v>0.25700000000000001</v>
      </c>
      <c r="I55" s="23">
        <v>125.134</v>
      </c>
      <c r="J55" s="101">
        <v>23.024000000000001</v>
      </c>
      <c r="K55" s="31"/>
      <c r="L55" s="104">
        <v>344.56700000000001</v>
      </c>
      <c r="M55" s="23">
        <v>947.428</v>
      </c>
      <c r="N55" s="21">
        <v>32.173999999999999</v>
      </c>
      <c r="O55" s="371">
        <v>204.82900000000001</v>
      </c>
      <c r="P55" s="370">
        <f>SUM(C55:O55)</f>
        <v>7755.4439999999995</v>
      </c>
      <c r="Q55" s="49"/>
      <c r="R55" s="104">
        <v>4.4939999999999998</v>
      </c>
      <c r="S55" s="23">
        <v>5.2999999999999999E-2</v>
      </c>
      <c r="T55" s="101">
        <v>505.93799999999999</v>
      </c>
      <c r="U55" s="50"/>
      <c r="V55" s="114">
        <v>719.55700000000002</v>
      </c>
      <c r="W55" s="405">
        <f>SUM(R55:V55)</f>
        <v>1230.0419999999999</v>
      </c>
      <c r="X55" s="57"/>
      <c r="Y55" s="1497">
        <v>6716.8990000000003</v>
      </c>
      <c r="Z55" s="1654"/>
      <c r="AA55" s="1655"/>
      <c r="AB55" s="1908"/>
      <c r="AC55" s="2262"/>
      <c r="AD55" s="2197"/>
      <c r="AE55" s="2296"/>
      <c r="AF55" s="2319">
        <v>6525.402</v>
      </c>
      <c r="AG55" s="2308">
        <v>6349.8360000000002</v>
      </c>
      <c r="AH55" s="1836">
        <f>W55-V55-SUM(Motpart!Y19:Z19)</f>
        <v>191.49499999999995</v>
      </c>
    </row>
    <row r="56" spans="1:34">
      <c r="A56" s="2085" t="s">
        <v>245</v>
      </c>
      <c r="B56" s="867" t="s">
        <v>86</v>
      </c>
      <c r="C56" s="20">
        <v>14333.98</v>
      </c>
      <c r="D56" s="21">
        <v>5687.5630000000001</v>
      </c>
      <c r="E56" s="23">
        <v>1467.354</v>
      </c>
      <c r="F56" s="23">
        <v>23098.019</v>
      </c>
      <c r="G56" s="23">
        <v>3043.8609999999999</v>
      </c>
      <c r="H56" s="24">
        <v>264.17</v>
      </c>
      <c r="I56" s="23">
        <v>1155.992</v>
      </c>
      <c r="J56" s="101">
        <v>372.745</v>
      </c>
      <c r="K56" s="31"/>
      <c r="L56" s="104">
        <v>3010.192</v>
      </c>
      <c r="M56" s="23">
        <v>5828.13</v>
      </c>
      <c r="N56" s="21">
        <v>193.34</v>
      </c>
      <c r="O56" s="371">
        <v>986.12800000000004</v>
      </c>
      <c r="P56" s="370">
        <f>SUM(C56:O56)</f>
        <v>59441.473999999987</v>
      </c>
      <c r="Q56" s="49"/>
      <c r="R56" s="104">
        <v>42.261000000000003</v>
      </c>
      <c r="S56" s="23">
        <v>29.884</v>
      </c>
      <c r="T56" s="101">
        <v>10714.004999999999</v>
      </c>
      <c r="U56" s="50"/>
      <c r="V56" s="114">
        <v>4191.0159999999996</v>
      </c>
      <c r="W56" s="405">
        <f>SUM(R56:V56)</f>
        <v>14977.165999999999</v>
      </c>
      <c r="X56" s="57"/>
      <c r="Y56" s="1497">
        <v>47447.267</v>
      </c>
      <c r="Z56" s="1302"/>
      <c r="AA56" s="1656"/>
      <c r="AB56" s="763"/>
      <c r="AC56" s="2262"/>
      <c r="AD56" s="2197"/>
      <c r="AE56" s="2296"/>
      <c r="AF56" s="2319">
        <v>44464.339</v>
      </c>
      <c r="AG56" s="2308">
        <v>31888.287</v>
      </c>
      <c r="AH56" s="1836">
        <f>W56-V56-SUM(Motpart!Y20:Z20)</f>
        <v>2982.9309999999996</v>
      </c>
    </row>
    <row r="57" spans="1:34">
      <c r="A57" s="2085" t="s">
        <v>246</v>
      </c>
      <c r="B57" s="867" t="s">
        <v>87</v>
      </c>
      <c r="C57" s="20">
        <v>1353.539</v>
      </c>
      <c r="D57" s="21">
        <v>540.26700000000005</v>
      </c>
      <c r="E57" s="23">
        <v>66.072999999999993</v>
      </c>
      <c r="F57" s="23">
        <v>1220.826</v>
      </c>
      <c r="G57" s="23">
        <v>356.49599999999998</v>
      </c>
      <c r="H57" s="24">
        <v>2.9929999999999999</v>
      </c>
      <c r="I57" s="23">
        <v>64.534000000000006</v>
      </c>
      <c r="J57" s="101">
        <v>10.09</v>
      </c>
      <c r="K57" s="31"/>
      <c r="L57" s="104">
        <v>172.37299999999999</v>
      </c>
      <c r="M57" s="23">
        <v>417.03300000000002</v>
      </c>
      <c r="N57" s="21">
        <v>16.074999999999999</v>
      </c>
      <c r="O57" s="371">
        <v>82.307000000000002</v>
      </c>
      <c r="P57" s="370">
        <f>SUM(C57:O57)</f>
        <v>4302.6059999999998</v>
      </c>
      <c r="Q57" s="49"/>
      <c r="R57" s="104">
        <v>5.3949999999999996</v>
      </c>
      <c r="S57" s="23">
        <v>1.8540000000000001</v>
      </c>
      <c r="T57" s="101">
        <v>808.22299999999996</v>
      </c>
      <c r="U57" s="50"/>
      <c r="V57" s="114">
        <v>297.18200000000002</v>
      </c>
      <c r="W57" s="405">
        <f>SUM(R57:V57)</f>
        <v>1112.654</v>
      </c>
      <c r="X57" s="57"/>
      <c r="Y57" s="996">
        <v>3321.9969999999998</v>
      </c>
      <c r="Z57" s="1302"/>
      <c r="AA57" s="1622"/>
      <c r="AB57" s="763"/>
      <c r="AC57" s="2262"/>
      <c r="AD57" s="2197"/>
      <c r="AE57" s="2296"/>
      <c r="AF57" s="2319">
        <v>3189.9760000000001</v>
      </c>
      <c r="AG57" s="2308">
        <v>2781.614</v>
      </c>
      <c r="AH57" s="1836">
        <f>W57-V57-SUM(Motpart!Y21:Z21)</f>
        <v>132.02499999999998</v>
      </c>
    </row>
    <row r="58" spans="1:34">
      <c r="A58" s="2085" t="s">
        <v>247</v>
      </c>
      <c r="B58" s="867" t="s">
        <v>88</v>
      </c>
      <c r="C58" s="363">
        <f t="shared" ref="C58:J58" si="14">SUM(C53:C57)</f>
        <v>78238.960999999996</v>
      </c>
      <c r="D58" s="26">
        <f t="shared" si="14"/>
        <v>30948.392</v>
      </c>
      <c r="E58" s="363">
        <f t="shared" si="14"/>
        <v>6404.55</v>
      </c>
      <c r="F58" s="363">
        <f t="shared" si="14"/>
        <v>46986.581000000006</v>
      </c>
      <c r="G58" s="363">
        <f t="shared" si="14"/>
        <v>12599.373</v>
      </c>
      <c r="H58" s="26">
        <f t="shared" si="14"/>
        <v>319.971</v>
      </c>
      <c r="I58" s="363">
        <f t="shared" si="14"/>
        <v>5695.951</v>
      </c>
      <c r="J58" s="105">
        <f t="shared" si="14"/>
        <v>1670.0219999999997</v>
      </c>
      <c r="K58" s="148"/>
      <c r="L58" s="372">
        <f>SUM(L53:L57)</f>
        <v>14353.161</v>
      </c>
      <c r="M58" s="363">
        <f>SUM(M53:M57)</f>
        <v>30901.097999999998</v>
      </c>
      <c r="N58" s="26">
        <f>SUM(N53:N57)</f>
        <v>898.96100000000001</v>
      </c>
      <c r="O58" s="26">
        <f>SUM(O53:O57)</f>
        <v>5474.6339999999991</v>
      </c>
      <c r="P58" s="105">
        <f>SUM(P53:P57)</f>
        <v>234491.65499999997</v>
      </c>
      <c r="Q58" s="49"/>
      <c r="R58" s="372">
        <f>SUM(R53:R57)</f>
        <v>89.55</v>
      </c>
      <c r="S58" s="363">
        <f>SUM(S53:S57)</f>
        <v>66.849000000000004</v>
      </c>
      <c r="T58" s="105">
        <f>SUM(T53:T57)</f>
        <v>26846.182999999997</v>
      </c>
      <c r="U58" s="49"/>
      <c r="V58" s="117">
        <f>SUM(V53:V57)</f>
        <v>22485.752</v>
      </c>
      <c r="W58" s="118">
        <f>SUM(W53:W57)</f>
        <v>49488.334000000003</v>
      </c>
      <c r="X58" s="57"/>
      <c r="Y58" s="1659">
        <v>201603.73199999999</v>
      </c>
      <c r="Z58" s="1637"/>
      <c r="AA58" s="1622"/>
      <c r="AB58" s="1623"/>
      <c r="AC58" s="2262"/>
      <c r="AD58" s="2197"/>
      <c r="AE58" s="2296"/>
      <c r="AF58" s="2319">
        <v>185003.37100000001</v>
      </c>
      <c r="AG58" s="2308">
        <v>164699.37100000001</v>
      </c>
      <c r="AH58" s="1832">
        <f>W58-V58-SUM(Motpart!Y17:Z21)</f>
        <v>16600.358</v>
      </c>
    </row>
    <row r="59" spans="1:34" ht="13.5" customHeight="1">
      <c r="A59" s="2105"/>
      <c r="B59" s="876" t="s">
        <v>89</v>
      </c>
      <c r="C59" s="491"/>
      <c r="D59" s="492"/>
      <c r="E59" s="493"/>
      <c r="F59" s="494"/>
      <c r="G59" s="493"/>
      <c r="H59" s="495"/>
      <c r="I59" s="493"/>
      <c r="J59" s="496"/>
      <c r="K59" s="32"/>
      <c r="L59" s="497"/>
      <c r="M59" s="493"/>
      <c r="N59" s="492"/>
      <c r="O59" s="492"/>
      <c r="P59" s="496"/>
      <c r="Q59" s="205"/>
      <c r="R59" s="497"/>
      <c r="S59" s="493"/>
      <c r="T59" s="496"/>
      <c r="U59" s="205"/>
      <c r="V59" s="498"/>
      <c r="W59" s="499"/>
      <c r="X59" s="32"/>
      <c r="Y59" s="1660"/>
      <c r="Z59" s="1661"/>
      <c r="AA59" s="1661"/>
      <c r="AB59" s="1661"/>
      <c r="AC59" s="2276"/>
      <c r="AD59" s="2197"/>
      <c r="AE59" s="2296"/>
      <c r="AF59" s="2319"/>
      <c r="AG59" s="2308"/>
      <c r="AH59" s="1832"/>
    </row>
    <row r="60" spans="1:34">
      <c r="A60" s="2106" t="s">
        <v>484</v>
      </c>
      <c r="B60" s="877" t="s">
        <v>375</v>
      </c>
      <c r="C60" s="490">
        <v>601.16700000000003</v>
      </c>
      <c r="D60" s="21">
        <v>235.49799999999999</v>
      </c>
      <c r="E60" s="20">
        <v>23.992000000000001</v>
      </c>
      <c r="F60" s="20">
        <v>493.339</v>
      </c>
      <c r="G60" s="20">
        <v>52.198</v>
      </c>
      <c r="H60" s="21">
        <v>1.3440000000000001</v>
      </c>
      <c r="I60" s="20">
        <v>44.58</v>
      </c>
      <c r="J60" s="100">
        <v>9.2040000000000006</v>
      </c>
      <c r="K60" s="31"/>
      <c r="L60" s="103">
        <v>90.983999999999995</v>
      </c>
      <c r="M60" s="20">
        <v>98.519000000000005</v>
      </c>
      <c r="N60" s="21">
        <v>9.7200000000000006</v>
      </c>
      <c r="O60" s="371">
        <v>37.1</v>
      </c>
      <c r="P60" s="370">
        <f>SUM(C60:O60)</f>
        <v>1697.6449999999998</v>
      </c>
      <c r="Q60" s="49"/>
      <c r="R60" s="103">
        <v>0.49099999999999999</v>
      </c>
      <c r="S60" s="20">
        <v>0.41599999999999998</v>
      </c>
      <c r="T60" s="100">
        <v>203.89</v>
      </c>
      <c r="U60" s="50"/>
      <c r="V60" s="113">
        <v>66.647999999999996</v>
      </c>
      <c r="W60" s="405">
        <f t="shared" ref="W60:W66" si="15">SUM(R60:V60)</f>
        <v>271.44499999999999</v>
      </c>
      <c r="X60" s="57"/>
      <c r="Y60" s="996">
        <v>1566.2449999999999</v>
      </c>
      <c r="Z60" s="1637"/>
      <c r="AA60" s="1622"/>
      <c r="AB60" s="1623"/>
      <c r="AC60" s="2262"/>
      <c r="AD60" s="2197"/>
      <c r="AE60" s="2296"/>
      <c r="AF60" s="2319">
        <v>1426.1980000000001</v>
      </c>
      <c r="AG60" s="2308">
        <v>1136.318</v>
      </c>
      <c r="AH60" s="1832">
        <f>W60-V60-SUM(Motpart!Y22:Z22)</f>
        <v>140.035</v>
      </c>
    </row>
    <row r="61" spans="1:34">
      <c r="A61" s="2100" t="s">
        <v>485</v>
      </c>
      <c r="B61" s="878" t="s">
        <v>376</v>
      </c>
      <c r="C61" s="22">
        <v>1767.096</v>
      </c>
      <c r="D61" s="21">
        <v>693.49400000000003</v>
      </c>
      <c r="E61" s="20">
        <v>115.464</v>
      </c>
      <c r="F61" s="20">
        <v>2565.364</v>
      </c>
      <c r="G61" s="20">
        <v>250.958</v>
      </c>
      <c r="H61" s="21">
        <v>12.785</v>
      </c>
      <c r="I61" s="20">
        <v>139.40700000000001</v>
      </c>
      <c r="J61" s="100">
        <v>22.936</v>
      </c>
      <c r="K61" s="500"/>
      <c r="L61" s="103">
        <v>234.548</v>
      </c>
      <c r="M61" s="20">
        <v>526.91600000000005</v>
      </c>
      <c r="N61" s="21">
        <v>24.393999999999998</v>
      </c>
      <c r="O61" s="371">
        <v>117.51900000000001</v>
      </c>
      <c r="P61" s="370">
        <f>SUM(C61:O61)</f>
        <v>6470.8809999999994</v>
      </c>
      <c r="Q61" s="49"/>
      <c r="R61" s="104">
        <v>27.559000000000001</v>
      </c>
      <c r="S61" s="23">
        <v>2.5649999999999999</v>
      </c>
      <c r="T61" s="101">
        <v>3330.51</v>
      </c>
      <c r="U61" s="50"/>
      <c r="V61" s="114">
        <v>377.94099999999997</v>
      </c>
      <c r="W61" s="405">
        <f t="shared" si="15"/>
        <v>3738.5749999999998</v>
      </c>
      <c r="X61" s="57"/>
      <c r="Y61" s="996">
        <v>5701.85</v>
      </c>
      <c r="Z61" s="1621"/>
      <c r="AA61" s="1622"/>
      <c r="AB61" s="1623"/>
      <c r="AC61" s="2262"/>
      <c r="AD61" s="2197"/>
      <c r="AE61" s="2296"/>
      <c r="AF61" s="2319">
        <v>2732.2910000000002</v>
      </c>
      <c r="AG61" s="2308">
        <v>3514.7779999999998</v>
      </c>
      <c r="AH61" s="1832">
        <f>W61-V61-SUM(Motpart!Y23:Z23)</f>
        <v>2969.5610000000001</v>
      </c>
    </row>
    <row r="62" spans="1:34" ht="13.5" customHeight="1">
      <c r="A62" s="2102"/>
      <c r="B62" s="873" t="s">
        <v>20</v>
      </c>
      <c r="C62" s="474"/>
      <c r="D62" s="473"/>
      <c r="E62" s="471"/>
      <c r="F62" s="494"/>
      <c r="G62" s="471"/>
      <c r="H62" s="495"/>
      <c r="I62" s="471"/>
      <c r="J62" s="472"/>
      <c r="K62" s="500"/>
      <c r="L62" s="470"/>
      <c r="M62" s="471"/>
      <c r="N62" s="473"/>
      <c r="O62" s="473"/>
      <c r="P62" s="472"/>
      <c r="Q62" s="50"/>
      <c r="R62" s="470"/>
      <c r="S62" s="471"/>
      <c r="T62" s="472"/>
      <c r="U62" s="50"/>
      <c r="V62" s="468"/>
      <c r="W62" s="469"/>
      <c r="X62" s="31"/>
      <c r="Y62" s="1496"/>
      <c r="Z62" s="1638"/>
      <c r="AA62" s="1625"/>
      <c r="AB62" s="1625"/>
      <c r="AC62" s="2263"/>
      <c r="AD62" s="2197"/>
      <c r="AE62" s="2296"/>
      <c r="AF62" s="2319"/>
      <c r="AG62" s="2308">
        <f t="shared" si="8"/>
        <v>0</v>
      </c>
      <c r="AH62" s="1832"/>
    </row>
    <row r="63" spans="1:34">
      <c r="A63" s="2085" t="s">
        <v>248</v>
      </c>
      <c r="B63" s="881" t="s">
        <v>860</v>
      </c>
      <c r="C63" s="20">
        <v>151.477</v>
      </c>
      <c r="D63" s="21">
        <v>58.921999999999997</v>
      </c>
      <c r="E63" s="20">
        <v>5.298</v>
      </c>
      <c r="F63" s="20">
        <v>25.503</v>
      </c>
      <c r="G63" s="20">
        <v>8.6739999999999995</v>
      </c>
      <c r="H63" s="21">
        <v>0.16400000000000001</v>
      </c>
      <c r="I63" s="20">
        <v>9.8030000000000008</v>
      </c>
      <c r="J63" s="100">
        <v>1.0189999999999999</v>
      </c>
      <c r="K63" s="31"/>
      <c r="L63" s="103">
        <v>18.257000000000001</v>
      </c>
      <c r="M63" s="20">
        <v>33.411999999999999</v>
      </c>
      <c r="N63" s="21">
        <v>1.32</v>
      </c>
      <c r="O63" s="371">
        <v>8.73</v>
      </c>
      <c r="P63" s="370">
        <f>SUM(C63:O63)</f>
        <v>322.57900000000001</v>
      </c>
      <c r="Q63" s="49"/>
      <c r="R63" s="103">
        <v>1.9E-2</v>
      </c>
      <c r="S63" s="20">
        <v>0.05</v>
      </c>
      <c r="T63" s="100">
        <v>25.588999999999999</v>
      </c>
      <c r="U63" s="50"/>
      <c r="V63" s="113">
        <v>25.175999999999998</v>
      </c>
      <c r="W63" s="405">
        <f t="shared" si="15"/>
        <v>50.833999999999996</v>
      </c>
      <c r="X63" s="57"/>
      <c r="Y63" s="976">
        <v>285.56400000000002</v>
      </c>
      <c r="Z63" s="1624"/>
      <c r="AA63" s="1625"/>
      <c r="AB63" s="1625"/>
      <c r="AC63" s="2263"/>
      <c r="AD63" s="2197"/>
      <c r="AE63" s="2296"/>
      <c r="AF63" s="2319">
        <v>271.75799999999998</v>
      </c>
      <c r="AG63" s="2308">
        <v>271.74400000000003</v>
      </c>
      <c r="AH63" s="1832">
        <f>W63-V63-SUM(Motpart!Y24:Z24)</f>
        <v>13.808999999999997</v>
      </c>
    </row>
    <row r="64" spans="1:34">
      <c r="A64" s="2085" t="s">
        <v>249</v>
      </c>
      <c r="B64" s="867" t="s">
        <v>90</v>
      </c>
      <c r="C64" s="20">
        <v>319</v>
      </c>
      <c r="D64" s="21">
        <v>126.07</v>
      </c>
      <c r="E64" s="23">
        <v>37.460999999999999</v>
      </c>
      <c r="F64" s="23">
        <v>124.608</v>
      </c>
      <c r="G64" s="23">
        <v>160.62299999999999</v>
      </c>
      <c r="H64" s="24">
        <v>48.194000000000003</v>
      </c>
      <c r="I64" s="23">
        <v>67.715999999999994</v>
      </c>
      <c r="J64" s="101">
        <v>12.895</v>
      </c>
      <c r="K64" s="31"/>
      <c r="L64" s="104">
        <v>97.887</v>
      </c>
      <c r="M64" s="23">
        <v>47.716999999999999</v>
      </c>
      <c r="N64" s="21">
        <v>4.6920000000000002</v>
      </c>
      <c r="O64" s="371">
        <v>27.009</v>
      </c>
      <c r="P64" s="370">
        <f>SUM(C64:O64)</f>
        <v>1073.8720000000001</v>
      </c>
      <c r="Q64" s="49"/>
      <c r="R64" s="104">
        <v>8.7330000000000005</v>
      </c>
      <c r="S64" s="23">
        <v>6.9390000000000001</v>
      </c>
      <c r="T64" s="101">
        <v>677.63</v>
      </c>
      <c r="U64" s="50"/>
      <c r="V64" s="114">
        <v>28.312999999999999</v>
      </c>
      <c r="W64" s="405">
        <f t="shared" si="15"/>
        <v>721.61500000000001</v>
      </c>
      <c r="X64" s="57"/>
      <c r="Y64" s="996">
        <v>1016.927</v>
      </c>
      <c r="Z64" s="1624"/>
      <c r="AA64" s="1625"/>
      <c r="AB64" s="1625"/>
      <c r="AC64" s="2263"/>
      <c r="AD64" s="2197"/>
      <c r="AE64" s="2296"/>
      <c r="AF64" s="2319">
        <v>352.25599999999997</v>
      </c>
      <c r="AG64" s="2308">
        <v>872.75599999999997</v>
      </c>
      <c r="AH64" s="1832">
        <f>W64-V64-(IF(AND(Motpart!$Y$25="",Motpart!$Z$25=""),0,IF(AND(Motpart!$Y$25=0,Motpart!$Z$25=0),0,((T64/($T$64+$T$65+$T$66))*(Motpart!$Y$25+Motpart!$Z$25)))))</f>
        <v>644.68380446017318</v>
      </c>
    </row>
    <row r="65" spans="1:34">
      <c r="A65" s="2085" t="s">
        <v>250</v>
      </c>
      <c r="B65" s="867" t="s">
        <v>95</v>
      </c>
      <c r="C65" s="20">
        <v>1485.3330000000001</v>
      </c>
      <c r="D65" s="21">
        <v>581.45399999999995</v>
      </c>
      <c r="E65" s="23">
        <v>54.877000000000002</v>
      </c>
      <c r="F65" s="23">
        <v>948.47199999999998</v>
      </c>
      <c r="G65" s="23">
        <v>106.07</v>
      </c>
      <c r="H65" s="24">
        <v>1.1990000000000001</v>
      </c>
      <c r="I65" s="23">
        <v>81.408000000000001</v>
      </c>
      <c r="J65" s="101">
        <v>12.878</v>
      </c>
      <c r="K65" s="31"/>
      <c r="L65" s="104">
        <v>174.32300000000001</v>
      </c>
      <c r="M65" s="23">
        <v>306.85399999999998</v>
      </c>
      <c r="N65" s="21">
        <v>24.361999999999998</v>
      </c>
      <c r="O65" s="371">
        <v>85.168000000000006</v>
      </c>
      <c r="P65" s="370">
        <f>SUM(C65:O65)</f>
        <v>3862.3980000000006</v>
      </c>
      <c r="Q65" s="49"/>
      <c r="R65" s="104">
        <v>2.4950000000000001</v>
      </c>
      <c r="S65" s="23">
        <v>0.91100000000000003</v>
      </c>
      <c r="T65" s="101">
        <v>695.04600000000005</v>
      </c>
      <c r="U65" s="50"/>
      <c r="V65" s="114">
        <v>277.60599999999999</v>
      </c>
      <c r="W65" s="405">
        <f t="shared" si="15"/>
        <v>976.05799999999999</v>
      </c>
      <c r="X65" s="57"/>
      <c r="Y65" s="996">
        <v>3507.9630000000002</v>
      </c>
      <c r="Z65" s="1624"/>
      <c r="AA65" s="1625"/>
      <c r="AB65" s="1625"/>
      <c r="AC65" s="2263"/>
      <c r="AD65" s="2197"/>
      <c r="AE65" s="2296"/>
      <c r="AF65" s="2319">
        <v>2886.34</v>
      </c>
      <c r="AG65" s="2308">
        <v>2633.6480000000001</v>
      </c>
      <c r="AH65" s="1832">
        <f>W65-V65-(IF(AND(Motpart!$Y$25="",Motpart!$Z$25=""),0,IF(AND(Motpart!$Y$25=0,Motpart!$Z$25=0),0,((T65/($T$64+$T$65+$T$66))*(Motpart!$Y$25+Motpart!$Z$25)))))</f>
        <v>648.5842516164065</v>
      </c>
    </row>
    <row r="66" spans="1:34">
      <c r="A66" s="2085" t="s">
        <v>251</v>
      </c>
      <c r="B66" s="875" t="s">
        <v>936</v>
      </c>
      <c r="C66" s="20">
        <v>158.982</v>
      </c>
      <c r="D66" s="21">
        <v>61.613999999999997</v>
      </c>
      <c r="E66" s="23">
        <v>11.916</v>
      </c>
      <c r="F66" s="23">
        <v>5.3710000000000004</v>
      </c>
      <c r="G66" s="23">
        <v>50.244999999999997</v>
      </c>
      <c r="H66" s="24">
        <v>1.0429999999999999</v>
      </c>
      <c r="I66" s="23">
        <v>9.343</v>
      </c>
      <c r="J66" s="101">
        <v>1.0680000000000001</v>
      </c>
      <c r="K66" s="31"/>
      <c r="L66" s="104">
        <v>26.817</v>
      </c>
      <c r="M66" s="23">
        <v>15.444000000000001</v>
      </c>
      <c r="N66" s="21">
        <v>0.95599999999999996</v>
      </c>
      <c r="O66" s="371">
        <v>8.3800000000000008</v>
      </c>
      <c r="P66" s="370">
        <f>SUM(C66:O66)</f>
        <v>351.17900000000003</v>
      </c>
      <c r="Q66" s="49"/>
      <c r="R66" s="104">
        <v>2.2559999999999998</v>
      </c>
      <c r="S66" s="23">
        <v>0.78500000000000003</v>
      </c>
      <c r="T66" s="101">
        <v>214.79599999999999</v>
      </c>
      <c r="U66" s="50"/>
      <c r="V66" s="114">
        <v>47.054000000000002</v>
      </c>
      <c r="W66" s="405">
        <f t="shared" si="15"/>
        <v>264.89099999999996</v>
      </c>
      <c r="X66" s="57"/>
      <c r="Y66" s="996">
        <v>295.70499999999998</v>
      </c>
      <c r="Z66" s="889" t="s">
        <v>96</v>
      </c>
      <c r="AA66" s="972"/>
      <c r="AB66" s="973"/>
      <c r="AC66" s="2267"/>
      <c r="AD66" s="2197"/>
      <c r="AE66" s="2296"/>
      <c r="AF66" s="2319">
        <v>86.296999999999997</v>
      </c>
      <c r="AG66" s="2308">
        <v>297.72000000000003</v>
      </c>
      <c r="AH66" s="1832">
        <f>W66-V66-(IF(AND(Motpart!$Y$25="",Motpart!$Z$25=""),0,IF(AND(Motpart!$Y$25=0,Motpart!$Z$25=0),0,((T66/($T$64+$T$65+$T$66))*(Motpart!$Y$25+Motpart!$Z$25)))))</f>
        <v>202.42594392342033</v>
      </c>
    </row>
    <row r="67" spans="1:34">
      <c r="A67" s="2085" t="s">
        <v>252</v>
      </c>
      <c r="B67" s="867" t="s">
        <v>21</v>
      </c>
      <c r="C67" s="363">
        <f>SUM(C58,C60:C61,C63:C66)</f>
        <v>82722.016000000003</v>
      </c>
      <c r="D67" s="26">
        <f t="shared" ref="D67:J67" si="16">SUM(D58,D60:D61,D63:D66)</f>
        <v>32705.444</v>
      </c>
      <c r="E67" s="531">
        <f t="shared" si="16"/>
        <v>6653.5580000000009</v>
      </c>
      <c r="F67" s="363">
        <f t="shared" si="16"/>
        <v>51149.238000000005</v>
      </c>
      <c r="G67" s="363">
        <f t="shared" si="16"/>
        <v>13228.141000000001</v>
      </c>
      <c r="H67" s="363">
        <f t="shared" si="16"/>
        <v>384.70000000000005</v>
      </c>
      <c r="I67" s="363">
        <f t="shared" si="16"/>
        <v>6048.2080000000005</v>
      </c>
      <c r="J67" s="105">
        <f t="shared" si="16"/>
        <v>1730.0219999999995</v>
      </c>
      <c r="K67" s="148"/>
      <c r="L67" s="372">
        <f>SUM(L58,L60:L61,L63:L66)</f>
        <v>14995.977000000001</v>
      </c>
      <c r="M67" s="363">
        <f>SUM(M58,M60:M61,M63:M66)</f>
        <v>31929.96</v>
      </c>
      <c r="N67" s="26">
        <f>SUM(N58,N60:N61,N63:N66)</f>
        <v>964.40500000000009</v>
      </c>
      <c r="O67" s="375">
        <f>SUM(O58,O60:O61,O63:O66)</f>
        <v>5758.5399999999991</v>
      </c>
      <c r="P67" s="105">
        <f>SUM(P58,P60:P61,P63:P66)</f>
        <v>248270.20899999994</v>
      </c>
      <c r="Q67" s="49"/>
      <c r="R67" s="372">
        <f>SUM(R58,R60:R61,R63:R66)</f>
        <v>131.10300000000001</v>
      </c>
      <c r="S67" s="363">
        <f>SUM(S58,S60:S61,S63:S66)</f>
        <v>78.514999999999986</v>
      </c>
      <c r="T67" s="105">
        <f>SUM(T58,T60:T61,T63:T66)</f>
        <v>31993.643999999997</v>
      </c>
      <c r="U67" s="49"/>
      <c r="V67" s="117">
        <f>SUM(V58,V60:V61,V63:V66)</f>
        <v>23308.489999999998</v>
      </c>
      <c r="W67" s="118">
        <f>SUM(W58,W60:W61,W63:W66)</f>
        <v>55511.752</v>
      </c>
      <c r="X67" s="57"/>
      <c r="Y67" s="976">
        <v>213977.97500000001</v>
      </c>
      <c r="Z67" s="979">
        <f>(P67-W67)*1000/invanare</f>
        <v>18441.680540771496</v>
      </c>
      <c r="AA67" s="980">
        <f>Y67*1000/invanare</f>
        <v>20471.804553359703</v>
      </c>
      <c r="AB67" s="980">
        <v>19895.888999999999</v>
      </c>
      <c r="AC67" s="2277">
        <f>IF(ISERROR((AA67-AB67)/AB67)," ",((AA67-AB67)/AB67))</f>
        <v>2.8946459912382105E-2</v>
      </c>
      <c r="AD67" s="2197"/>
      <c r="AE67" s="2300">
        <f>IF(ISERROR(F67/(AA67/1000*invanare)),"",(F67/(AA67/100000*invanare)))</f>
        <v>23.903973294447713</v>
      </c>
      <c r="AF67" s="2319">
        <v>192758.546</v>
      </c>
      <c r="AG67" s="2308">
        <v>173427.818</v>
      </c>
      <c r="AH67" s="1832">
        <f>W67-V67-SUM(Motpart!Y17:Z25)</f>
        <v>21219.457000000002</v>
      </c>
    </row>
    <row r="68" spans="1:34" ht="12.75" customHeight="1" thickBot="1">
      <c r="A68" s="2098" t="s">
        <v>253</v>
      </c>
      <c r="B68" s="872" t="s">
        <v>97</v>
      </c>
      <c r="C68" s="377">
        <f t="shared" ref="C68:J68" si="17">SUM(C51,C67)</f>
        <v>126893.675</v>
      </c>
      <c r="D68" s="378">
        <f t="shared" si="17"/>
        <v>50129.948000000004</v>
      </c>
      <c r="E68" s="377">
        <f t="shared" si="17"/>
        <v>9221.4809999999998</v>
      </c>
      <c r="F68" s="377">
        <f t="shared" si="17"/>
        <v>71334.258000000002</v>
      </c>
      <c r="G68" s="377">
        <f t="shared" si="17"/>
        <v>15660.845000000001</v>
      </c>
      <c r="H68" s="378">
        <f t="shared" si="17"/>
        <v>403.23100000000005</v>
      </c>
      <c r="I68" s="377">
        <f t="shared" si="17"/>
        <v>9275.8880000000008</v>
      </c>
      <c r="J68" s="379">
        <f t="shared" si="17"/>
        <v>2251.3509999999997</v>
      </c>
      <c r="K68" s="148"/>
      <c r="L68" s="380">
        <f>SUM(L51,L67)</f>
        <v>22423.815000000002</v>
      </c>
      <c r="M68" s="377">
        <f>SUM(M51,M67)</f>
        <v>49826.445</v>
      </c>
      <c r="N68" s="378">
        <f>SUM(N51,N67)</f>
        <v>1430.93</v>
      </c>
      <c r="O68" s="378">
        <f>SUM(O51,O67)</f>
        <v>8617.56</v>
      </c>
      <c r="P68" s="379">
        <f>SUM(P51,P67)</f>
        <v>367469.42699999997</v>
      </c>
      <c r="Q68" s="49"/>
      <c r="R68" s="380">
        <f>SUM(R51,R67)</f>
        <v>8479.2969999999987</v>
      </c>
      <c r="S68" s="377">
        <f>SUM(S51,S67)</f>
        <v>106.14699999999999</v>
      </c>
      <c r="T68" s="379">
        <f>SUM(T51,T67)</f>
        <v>39873.548999999999</v>
      </c>
      <c r="U68" s="49"/>
      <c r="V68" s="407">
        <f>SUM(V51,V67)</f>
        <v>35784.763999999996</v>
      </c>
      <c r="W68" s="406">
        <f>SUM(W51,W67)</f>
        <v>84243.756999999998</v>
      </c>
      <c r="X68" s="57"/>
      <c r="Y68" s="1003">
        <v>320074.505</v>
      </c>
      <c r="Z68" s="981"/>
      <c r="AA68" s="982"/>
      <c r="AB68" s="983"/>
      <c r="AC68" s="2272"/>
      <c r="AD68" s="2197"/>
      <c r="AE68" s="2298">
        <f>IF(ISERROR(F67/(AA67/1000*invanare)),"",(SUM(Motpart!D17:D25,Motpart!F17:F25)/(AA67/100000*invanare)))</f>
        <v>16.691196371963045</v>
      </c>
      <c r="AF68" s="2320">
        <v>283225.72700000001</v>
      </c>
      <c r="AG68" s="2309">
        <v>259947.19500000001</v>
      </c>
      <c r="AH68" s="1834">
        <f>SUM(AH51,AH58,AH60:AH61,AH63:AH66)</f>
        <v>36848.778000000006</v>
      </c>
    </row>
    <row r="69" spans="1:34" ht="17.25" customHeight="1">
      <c r="A69" s="2102"/>
      <c r="B69" s="873" t="s">
        <v>98</v>
      </c>
      <c r="C69" s="501"/>
      <c r="D69" s="502"/>
      <c r="E69" s="503"/>
      <c r="F69" s="503"/>
      <c r="G69" s="503"/>
      <c r="H69" s="502"/>
      <c r="I69" s="503"/>
      <c r="J69" s="504"/>
      <c r="K69" s="38"/>
      <c r="L69" s="505"/>
      <c r="M69" s="503"/>
      <c r="N69" s="502"/>
      <c r="O69" s="502"/>
      <c r="P69" s="506"/>
      <c r="Q69" s="51"/>
      <c r="R69" s="505"/>
      <c r="S69" s="503"/>
      <c r="T69" s="504"/>
      <c r="U69" s="51"/>
      <c r="V69" s="507"/>
      <c r="W69" s="508"/>
      <c r="X69" s="38"/>
      <c r="Y69" s="1498"/>
      <c r="Z69" s="1648"/>
      <c r="AA69" s="1649"/>
      <c r="AB69" s="1650"/>
      <c r="AC69" s="2278"/>
      <c r="AD69" s="2197"/>
      <c r="AE69" s="2296"/>
      <c r="AF69" s="2321"/>
      <c r="AG69" s="2310"/>
      <c r="AH69" s="1833"/>
    </row>
    <row r="70" spans="1:34">
      <c r="A70" s="2085" t="s">
        <v>254</v>
      </c>
      <c r="B70" s="869" t="s">
        <v>99</v>
      </c>
      <c r="C70" s="20">
        <v>98.899000000000001</v>
      </c>
      <c r="D70" s="21">
        <v>39.353000000000002</v>
      </c>
      <c r="E70" s="20">
        <v>9.3369999999999997</v>
      </c>
      <c r="F70" s="20">
        <v>50.661000000000001</v>
      </c>
      <c r="G70" s="20">
        <v>39.74</v>
      </c>
      <c r="H70" s="21">
        <v>2.1999999999999999E-2</v>
      </c>
      <c r="I70" s="20">
        <v>1.454</v>
      </c>
      <c r="J70" s="100">
        <v>0.5</v>
      </c>
      <c r="K70" s="31"/>
      <c r="L70" s="103">
        <v>18.053000000000001</v>
      </c>
      <c r="M70" s="20">
        <v>145.65</v>
      </c>
      <c r="N70" s="21">
        <v>0</v>
      </c>
      <c r="O70" s="371">
        <v>5.327</v>
      </c>
      <c r="P70" s="370">
        <f>SUM(C70:O70)</f>
        <v>408.99599999999998</v>
      </c>
      <c r="Q70" s="49"/>
      <c r="R70" s="103">
        <v>14.641999999999999</v>
      </c>
      <c r="S70" s="20">
        <v>0.124</v>
      </c>
      <c r="T70" s="100">
        <v>28.474</v>
      </c>
      <c r="U70" s="50"/>
      <c r="V70" s="113">
        <v>150.54300000000001</v>
      </c>
      <c r="W70" s="405">
        <f>SUM(R70:V70)</f>
        <v>193.78300000000002</v>
      </c>
      <c r="X70" s="57"/>
      <c r="Y70" s="976">
        <v>250.852</v>
      </c>
      <c r="Z70" s="1651"/>
      <c r="AA70" s="1645"/>
      <c r="AB70" s="1645"/>
      <c r="AC70" s="2279"/>
      <c r="AD70" s="2197"/>
      <c r="AE70" s="2296"/>
      <c r="AF70" s="2319">
        <v>215.21100000000001</v>
      </c>
      <c r="AG70" s="2308">
        <v>207.76900000000001</v>
      </c>
      <c r="AH70" s="1832">
        <f>W70-V70-(IF(AND(Motpart!$Y$26="",Motpart!$Z$26=""),0,IF(AND(Motpart!$Y$26=0,Motpart!$Z$26=0),0,((T70/($T$70+$T$71))*(Motpart!$Y$26+Motpart!$Z$26)))))</f>
        <v>38.855307739700535</v>
      </c>
    </row>
    <row r="71" spans="1:34" ht="21" customHeight="1" thickBot="1">
      <c r="A71" s="2085" t="s">
        <v>255</v>
      </c>
      <c r="B71" s="1883" t="s">
        <v>1053</v>
      </c>
      <c r="C71" s="23">
        <v>774.03899999999999</v>
      </c>
      <c r="D71" s="21">
        <v>306.81200000000001</v>
      </c>
      <c r="E71" s="23">
        <v>388.24</v>
      </c>
      <c r="F71" s="23">
        <v>307.35500000000002</v>
      </c>
      <c r="G71" s="23">
        <v>334.48099999999999</v>
      </c>
      <c r="H71" s="24">
        <v>0.80400000000000005</v>
      </c>
      <c r="I71" s="23">
        <v>9.4629999999999992</v>
      </c>
      <c r="J71" s="101">
        <v>26.427</v>
      </c>
      <c r="K71" s="31"/>
      <c r="L71" s="104">
        <v>101.145</v>
      </c>
      <c r="M71" s="23">
        <v>190.21799999999999</v>
      </c>
      <c r="N71" s="21">
        <v>1.3520000000000001</v>
      </c>
      <c r="O71" s="371">
        <v>48.698</v>
      </c>
      <c r="P71" s="370">
        <f>SUM(C71:O71)</f>
        <v>2489.0340000000001</v>
      </c>
      <c r="Q71" s="49"/>
      <c r="R71" s="104">
        <v>52.704999999999998</v>
      </c>
      <c r="S71" s="23">
        <v>1.339</v>
      </c>
      <c r="T71" s="101">
        <v>586.67899999999997</v>
      </c>
      <c r="U71" s="50"/>
      <c r="V71" s="114">
        <v>153.75800000000001</v>
      </c>
      <c r="W71" s="984">
        <f>SUM(R71:V71)</f>
        <v>794.48099999999999</v>
      </c>
      <c r="X71" s="57"/>
      <c r="Y71" s="996">
        <v>2248.1480000000001</v>
      </c>
      <c r="Z71" s="1646"/>
      <c r="AA71" s="1647"/>
      <c r="AB71" s="1647"/>
      <c r="AC71" s="2280"/>
      <c r="AD71" s="2197"/>
      <c r="AE71" s="2296"/>
      <c r="AF71" s="2319">
        <v>1694.5540000000001</v>
      </c>
      <c r="AG71" s="2308">
        <v>2027.116</v>
      </c>
      <c r="AH71" s="1832">
        <f>W71-V71-(IF(AND(Motpart!$Y$26="",Motpart!$Z$26=""),0,IF(AND(Motpart!$Y$26=0,Motpart!$Z$26=0),0,((T71/($T$70+$T$71))*(Motpart!$Y$26+Motpart!$Z$26)))))</f>
        <v>550.38069226029938</v>
      </c>
    </row>
    <row r="72" spans="1:34" ht="36" customHeight="1" thickBot="1">
      <c r="A72" s="2107"/>
      <c r="B72" s="1652" t="s">
        <v>101</v>
      </c>
      <c r="C72" s="474"/>
      <c r="D72" s="473"/>
      <c r="E72" s="471"/>
      <c r="F72" s="471"/>
      <c r="G72" s="471"/>
      <c r="H72" s="473"/>
      <c r="I72" s="471"/>
      <c r="J72" s="472"/>
      <c r="K72" s="31"/>
      <c r="L72" s="470"/>
      <c r="M72" s="471"/>
      <c r="N72" s="473"/>
      <c r="O72" s="473"/>
      <c r="P72" s="472"/>
      <c r="Q72" s="50"/>
      <c r="R72" s="470"/>
      <c r="S72" s="471"/>
      <c r="T72" s="472"/>
      <c r="U72" s="50"/>
      <c r="V72" s="468"/>
      <c r="W72" s="469"/>
      <c r="X72" s="31"/>
      <c r="Y72" s="1641" t="s">
        <v>976</v>
      </c>
      <c r="Z72" s="2535"/>
      <c r="AA72" s="2533"/>
      <c r="AB72" s="2533"/>
      <c r="AC72" s="2534"/>
      <c r="AD72" s="2197"/>
      <c r="AE72" s="2301">
        <f>IF(ISERROR((F73+F74)/((AA73+AA74)/1000*invanare)),"",((F73+F74)/((AA73+AA74)/100000*invanare)))</f>
        <v>16.466418351365455</v>
      </c>
      <c r="AF72" s="2319"/>
      <c r="AG72" s="2308"/>
      <c r="AH72" s="1832"/>
    </row>
    <row r="73" spans="1:34">
      <c r="A73" s="2085" t="s">
        <v>435</v>
      </c>
      <c r="B73" s="875" t="s">
        <v>487</v>
      </c>
      <c r="C73" s="20">
        <v>61133.506999999998</v>
      </c>
      <c r="D73" s="21">
        <v>23838.421999999999</v>
      </c>
      <c r="E73" s="20">
        <v>5344.7849999999999</v>
      </c>
      <c r="F73" s="20">
        <v>21829.584999999999</v>
      </c>
      <c r="G73" s="20">
        <v>5809.21</v>
      </c>
      <c r="H73" s="21">
        <v>1013.365</v>
      </c>
      <c r="I73" s="20">
        <v>4453.3990000000003</v>
      </c>
      <c r="J73" s="100">
        <v>707.49300000000005</v>
      </c>
      <c r="K73" s="31"/>
      <c r="L73" s="103">
        <v>6116.6880000000001</v>
      </c>
      <c r="M73" s="20">
        <v>19331.368999999999</v>
      </c>
      <c r="N73" s="21">
        <v>558.39</v>
      </c>
      <c r="O73" s="371">
        <v>3926.607</v>
      </c>
      <c r="P73" s="370">
        <f>SUM(C73:O73)</f>
        <v>154062.82</v>
      </c>
      <c r="Q73" s="49"/>
      <c r="R73" s="1890">
        <v>5491.2290000000003</v>
      </c>
      <c r="S73" s="20">
        <v>4360.8559999999998</v>
      </c>
      <c r="T73" s="100">
        <v>10763.02</v>
      </c>
      <c r="U73" s="50"/>
      <c r="V73" s="113">
        <v>14896.084000000001</v>
      </c>
      <c r="W73" s="405">
        <f>SUM(R73:V73)</f>
        <v>35511.188999999998</v>
      </c>
      <c r="X73" s="57"/>
      <c r="Y73" s="976">
        <v>138797.84</v>
      </c>
      <c r="Z73" s="979">
        <f>(P73-W73)*1000/invanare</f>
        <v>11342.129110783573</v>
      </c>
      <c r="AA73" s="980">
        <f>Y73*1000/invanare</f>
        <v>13279.134232897062</v>
      </c>
      <c r="AB73" s="994">
        <v>13032.642</v>
      </c>
      <c r="AC73" s="2270">
        <f>IF(ISERROR((AA73-AB73)/AB73)," ",((AA73-AB73)/AB73))</f>
        <v>1.8913450772073875E-2</v>
      </c>
      <c r="AD73" s="2197"/>
      <c r="AE73" s="2300"/>
      <c r="AF73" s="2319">
        <v>118551.64200000001</v>
      </c>
      <c r="AG73" s="2308">
        <v>116323.796</v>
      </c>
      <c r="AH73" s="1832">
        <f>W73-V73-SUM(Motpart!Y27:Z27)</f>
        <v>20246.200999999997</v>
      </c>
    </row>
    <row r="74" spans="1:34" ht="18.75">
      <c r="A74" s="2085" t="s">
        <v>434</v>
      </c>
      <c r="B74" s="879" t="s">
        <v>370</v>
      </c>
      <c r="C74" s="20">
        <v>6203.7870000000003</v>
      </c>
      <c r="D74" s="21">
        <v>2394.665</v>
      </c>
      <c r="E74" s="20">
        <v>365.738</v>
      </c>
      <c r="F74" s="20">
        <v>3571.1239999999998</v>
      </c>
      <c r="G74" s="20">
        <v>655.90599999999995</v>
      </c>
      <c r="H74" s="21">
        <v>379.49200000000002</v>
      </c>
      <c r="I74" s="20">
        <v>445.30099999999999</v>
      </c>
      <c r="J74" s="100">
        <v>38.192</v>
      </c>
      <c r="K74" s="31"/>
      <c r="L74" s="103">
        <v>425.64100000000002</v>
      </c>
      <c r="M74" s="20">
        <v>1908.1379999999999</v>
      </c>
      <c r="N74" s="21">
        <v>65.262</v>
      </c>
      <c r="O74" s="371">
        <v>377.10199999999998</v>
      </c>
      <c r="P74" s="370">
        <f>SUM(C74:O74)</f>
        <v>16830.347999999998</v>
      </c>
      <c r="Q74" s="49"/>
      <c r="R74" s="1890">
        <v>287.91300000000001</v>
      </c>
      <c r="S74" s="20">
        <v>327.69900000000001</v>
      </c>
      <c r="T74" s="100">
        <v>1056.6980000000001</v>
      </c>
      <c r="U74" s="50"/>
      <c r="V74" s="113">
        <v>1324.6769999999999</v>
      </c>
      <c r="W74" s="405">
        <f>SUM(R74:V74)</f>
        <v>2996.9870000000001</v>
      </c>
      <c r="X74" s="57"/>
      <c r="Y74" s="976">
        <v>15459.804</v>
      </c>
      <c r="Z74" s="979">
        <f>(P74-W74)*1000/invanare</f>
        <v>1323.4720195294328</v>
      </c>
      <c r="AA74" s="980">
        <f>Y74*1000/invanare</f>
        <v>1479.0778626690367</v>
      </c>
      <c r="AB74" s="994">
        <v>1454.3520000000001</v>
      </c>
      <c r="AC74" s="2270">
        <f>IF(ISERROR((AA74-AB74)/AB74)," ",((AA74-AB74)/AB74))</f>
        <v>1.7001291756766304E-2</v>
      </c>
      <c r="AD74" s="2197"/>
      <c r="AE74" s="2299">
        <f>(Y77-Y76)*1000/invanare</f>
        <v>21253.222679813087</v>
      </c>
      <c r="AF74" s="2319">
        <v>13833.361999999999</v>
      </c>
      <c r="AG74" s="2308">
        <v>11555.063</v>
      </c>
      <c r="AH74" s="1832">
        <f>W74-V74-SUM(Motpart!Y28:Z28)</f>
        <v>1626.4380000000001</v>
      </c>
    </row>
    <row r="75" spans="1:34">
      <c r="A75" s="2085" t="s">
        <v>256</v>
      </c>
      <c r="B75" s="875" t="s">
        <v>371</v>
      </c>
      <c r="C75" s="2330">
        <v>27876.924999999999</v>
      </c>
      <c r="D75" s="21">
        <v>10831.782999999999</v>
      </c>
      <c r="E75" s="23">
        <v>1196.874</v>
      </c>
      <c r="F75" s="2330">
        <v>14284.111999999999</v>
      </c>
      <c r="G75" s="23">
        <v>1799.02</v>
      </c>
      <c r="H75" s="24">
        <v>5074.7719999999999</v>
      </c>
      <c r="I75" s="23">
        <v>1677.732</v>
      </c>
      <c r="J75" s="101">
        <v>141.70699999999999</v>
      </c>
      <c r="K75" s="31"/>
      <c r="L75" s="104">
        <v>2340.3490000000002</v>
      </c>
      <c r="M75" s="2330">
        <v>5456.8770000000004</v>
      </c>
      <c r="N75" s="2339">
        <v>252.76400000000001</v>
      </c>
      <c r="O75" s="2341">
        <v>1548.2360000000001</v>
      </c>
      <c r="P75" s="370">
        <f>SUM(C75:O75)</f>
        <v>72481.150999999998</v>
      </c>
      <c r="Q75" s="49"/>
      <c r="R75" s="1888">
        <v>126.46899999999999</v>
      </c>
      <c r="S75" s="23">
        <v>1400.039</v>
      </c>
      <c r="T75" s="101">
        <v>8262.0920000000006</v>
      </c>
      <c r="U75" s="50"/>
      <c r="V75" s="2342">
        <v>4311.9799999999996</v>
      </c>
      <c r="W75" s="405">
        <f>SUM(R75:V75)</f>
        <v>14100.58</v>
      </c>
      <c r="X75" s="57"/>
      <c r="Y75" s="976">
        <v>67887.960999999996</v>
      </c>
      <c r="Z75" s="979">
        <f>(P75-W75)*1000/invanare</f>
        <v>5585.4142896040557</v>
      </c>
      <c r="AA75" s="980">
        <f>Y75*1000/invanare</f>
        <v>6495.009914539597</v>
      </c>
      <c r="AB75" s="994">
        <v>6330.7709999999997</v>
      </c>
      <c r="AC75" s="2270">
        <f>IF(ISERROR((AA75-AB75)/AB75)," ",((AA75-AB75)/AB75))</f>
        <v>2.5942956164359338E-2</v>
      </c>
      <c r="AD75" s="2197"/>
      <c r="AE75" s="2296"/>
      <c r="AF75" s="2319">
        <v>58380.574999999997</v>
      </c>
      <c r="AG75" s="2308">
        <v>48810.281000000003</v>
      </c>
      <c r="AH75" s="1832">
        <f>W75-V75-SUM(Motpart!Y29:Z29)</f>
        <v>9507.384</v>
      </c>
    </row>
    <row r="76" spans="1:34">
      <c r="A76" s="2085" t="s">
        <v>257</v>
      </c>
      <c r="B76" s="867" t="s">
        <v>102</v>
      </c>
      <c r="C76" s="23">
        <v>122.782</v>
      </c>
      <c r="D76" s="21">
        <v>48.744</v>
      </c>
      <c r="E76" s="23">
        <v>5.7930000000000001</v>
      </c>
      <c r="F76" s="23">
        <v>1435.2049999999999</v>
      </c>
      <c r="G76" s="23">
        <v>343.11500000000001</v>
      </c>
      <c r="H76" s="24">
        <v>46.854999999999997</v>
      </c>
      <c r="I76" s="23">
        <v>1.042</v>
      </c>
      <c r="J76" s="101">
        <v>0.50700000000000001</v>
      </c>
      <c r="K76" s="31"/>
      <c r="L76" s="104">
        <v>7.2670000000000003</v>
      </c>
      <c r="M76" s="23">
        <v>85.944000000000003</v>
      </c>
      <c r="N76" s="21">
        <v>10.79</v>
      </c>
      <c r="O76" s="371">
        <v>15.609</v>
      </c>
      <c r="P76" s="370">
        <f>SUM(C76:O76)</f>
        <v>2123.6529999999998</v>
      </c>
      <c r="Q76" s="49"/>
      <c r="R76" s="1888">
        <v>88.405000000000001</v>
      </c>
      <c r="S76" s="23">
        <v>4.0000000000000001E-3</v>
      </c>
      <c r="T76" s="101">
        <v>55.393000000000001</v>
      </c>
      <c r="U76" s="50"/>
      <c r="V76" s="114">
        <v>103.003</v>
      </c>
      <c r="W76" s="405">
        <f>SUM(R76:V76)</f>
        <v>246.80500000000001</v>
      </c>
      <c r="X76" s="57"/>
      <c r="Y76" s="976">
        <v>2014.643</v>
      </c>
      <c r="Z76" s="979">
        <f>(P76-W76)*1000/invanare</f>
        <v>179.56271168733159</v>
      </c>
      <c r="AA76" s="980">
        <f>Y76*1000/invanare</f>
        <v>192.74590172560636</v>
      </c>
      <c r="AB76" s="997">
        <v>181.73400000000001</v>
      </c>
      <c r="AC76" s="2270">
        <f>IF(ISERROR((AA76-AB76)/AB76)," ",((AA76-AB76)/AB76))</f>
        <v>6.0593514287950241E-2</v>
      </c>
      <c r="AD76" s="2197"/>
      <c r="AE76" s="2299"/>
      <c r="AF76" s="2319">
        <v>1876.857</v>
      </c>
      <c r="AG76" s="2308">
        <v>538.6</v>
      </c>
      <c r="AH76" s="1832">
        <f>W76-V76-SUM(Motpart!Y30:Z30)</f>
        <v>137.78900000000002</v>
      </c>
    </row>
    <row r="77" spans="1:34">
      <c r="A77" s="2085" t="s">
        <v>498</v>
      </c>
      <c r="B77" s="867" t="s">
        <v>104</v>
      </c>
      <c r="C77" s="363">
        <f t="shared" ref="C77:J77" si="18">SUM(C73:C76)</f>
        <v>95337.001000000004</v>
      </c>
      <c r="D77" s="26">
        <f t="shared" si="18"/>
        <v>37113.613999999994</v>
      </c>
      <c r="E77" s="363">
        <f t="shared" si="18"/>
        <v>6913.19</v>
      </c>
      <c r="F77" s="363">
        <f t="shared" si="18"/>
        <v>41120.025999999998</v>
      </c>
      <c r="G77" s="363">
        <f t="shared" si="18"/>
        <v>8607.2510000000002</v>
      </c>
      <c r="H77" s="26">
        <f t="shared" si="18"/>
        <v>6514.4839999999995</v>
      </c>
      <c r="I77" s="363">
        <f t="shared" si="18"/>
        <v>6577.4740000000011</v>
      </c>
      <c r="J77" s="105">
        <f t="shared" si="18"/>
        <v>887.899</v>
      </c>
      <c r="K77" s="148"/>
      <c r="L77" s="372">
        <f>SUM(L73:L76)</f>
        <v>8889.9449999999997</v>
      </c>
      <c r="M77" s="363">
        <f>SUM(M73:M76)</f>
        <v>26782.327999999998</v>
      </c>
      <c r="N77" s="26">
        <f>SUM(N73:N76)</f>
        <v>887.20600000000002</v>
      </c>
      <c r="O77" s="26">
        <f>SUM(O73:O76)</f>
        <v>5867.5540000000001</v>
      </c>
      <c r="P77" s="105">
        <f>SUM(P73:P76)</f>
        <v>245497.97200000001</v>
      </c>
      <c r="Q77" s="49"/>
      <c r="R77" s="372">
        <f>SUM(R73:R76)</f>
        <v>5994.0159999999996</v>
      </c>
      <c r="S77" s="363">
        <f>SUM(S73:S76)</f>
        <v>6088.597999999999</v>
      </c>
      <c r="T77" s="105">
        <f>SUM(T73:T76)</f>
        <v>20137.203000000001</v>
      </c>
      <c r="U77" s="49"/>
      <c r="V77" s="117">
        <f>SUM(V73:V76)</f>
        <v>20635.744000000002</v>
      </c>
      <c r="W77" s="118">
        <f>SUM(W73:W76)</f>
        <v>52855.561000000002</v>
      </c>
      <c r="X77" s="57"/>
      <c r="Y77" s="976">
        <v>224160.255</v>
      </c>
      <c r="Z77" s="1663">
        <f>(P77-W77)*1000/invanare</f>
        <v>18430.578131604394</v>
      </c>
      <c r="AA77" s="997">
        <f>Y77*1000/invanare</f>
        <v>21445.968581538695</v>
      </c>
      <c r="AB77" s="1664">
        <v>20999.5</v>
      </c>
      <c r="AC77" s="2274">
        <f t="shared" ref="AC77:AC84" si="19">IF(ISERROR((AA77-AB77)/AB77)," ",((AA77-AB77)/AB77))</f>
        <v>2.1260914856958246E-2</v>
      </c>
      <c r="AD77" s="2197"/>
      <c r="AE77" s="2300">
        <f>IF(ISERROR(F77/(AA77/1000*invanare)),"",(F77/(AA77/100000*invanare)))</f>
        <v>18.344030702498976</v>
      </c>
      <c r="AF77" s="2319">
        <v>192642.43700000001</v>
      </c>
      <c r="AG77" s="2308">
        <v>177227.74299999999</v>
      </c>
      <c r="AH77" s="1832">
        <f>W77-V77-SUM(Motpart!Y27:Z30)</f>
        <v>31517.811999999998</v>
      </c>
    </row>
    <row r="78" spans="1:34" ht="13.5" customHeight="1">
      <c r="A78" s="2107"/>
      <c r="B78" s="880" t="s">
        <v>105</v>
      </c>
      <c r="C78" s="474"/>
      <c r="D78" s="473"/>
      <c r="E78" s="471"/>
      <c r="F78" s="471"/>
      <c r="G78" s="471"/>
      <c r="H78" s="473"/>
      <c r="I78" s="471"/>
      <c r="J78" s="472"/>
      <c r="K78" s="31"/>
      <c r="L78" s="470"/>
      <c r="M78" s="471"/>
      <c r="N78" s="473"/>
      <c r="O78" s="473"/>
      <c r="P78" s="472"/>
      <c r="Q78" s="50"/>
      <c r="R78" s="470"/>
      <c r="S78" s="471"/>
      <c r="T78" s="472"/>
      <c r="U78" s="50"/>
      <c r="V78" s="468"/>
      <c r="W78" s="469"/>
      <c r="X78" s="31"/>
      <c r="Y78" s="1639"/>
      <c r="Z78" s="1665"/>
      <c r="AA78" s="1681"/>
      <c r="AB78" s="1681"/>
      <c r="AC78" s="2281" t="str">
        <f t="shared" si="19"/>
        <v xml:space="preserve"> </v>
      </c>
      <c r="AD78" s="2197"/>
      <c r="AE78" s="2296">
        <f>IF(ISERROR(F77/(AA77/1000*invanare)),"",(SUM(Motpart!D27:D30,Motpart!F27:F30)/(AA77/100000*invanare)))</f>
        <v>16.805674583123576</v>
      </c>
      <c r="AF78" s="2319"/>
      <c r="AG78" s="2308"/>
      <c r="AH78" s="1832"/>
    </row>
    <row r="79" spans="1:34">
      <c r="A79" s="2085" t="s">
        <v>440</v>
      </c>
      <c r="B79" s="881" t="s">
        <v>201</v>
      </c>
      <c r="C79" s="20">
        <v>2632.6889999999999</v>
      </c>
      <c r="D79" s="21">
        <v>1042.636</v>
      </c>
      <c r="E79" s="20">
        <v>128.233</v>
      </c>
      <c r="F79" s="20">
        <v>3137.759</v>
      </c>
      <c r="G79" s="20">
        <v>420.82400000000001</v>
      </c>
      <c r="H79" s="21">
        <v>158.87</v>
      </c>
      <c r="I79" s="20">
        <v>455.77100000000002</v>
      </c>
      <c r="J79" s="100">
        <v>13.704000000000001</v>
      </c>
      <c r="K79" s="31"/>
      <c r="L79" s="103">
        <v>371.42399999999998</v>
      </c>
      <c r="M79" s="20">
        <v>606.50099999999998</v>
      </c>
      <c r="N79" s="21">
        <v>23.757000000000001</v>
      </c>
      <c r="O79" s="371">
        <v>178.93600000000001</v>
      </c>
      <c r="P79" s="370">
        <f>SUM(C79:O79)</f>
        <v>9171.1039999999994</v>
      </c>
      <c r="Q79" s="49"/>
      <c r="R79" s="103">
        <v>48.326000000000001</v>
      </c>
      <c r="S79" s="20">
        <v>301.58999999999997</v>
      </c>
      <c r="T79" s="100">
        <v>441.77199999999999</v>
      </c>
      <c r="U79" s="50"/>
      <c r="V79" s="113">
        <v>481.47399999999999</v>
      </c>
      <c r="W79" s="405">
        <f>SUM(R79:V79)</f>
        <v>1273.162</v>
      </c>
      <c r="X79" s="57"/>
      <c r="Y79" s="976">
        <v>8639.2849999999999</v>
      </c>
      <c r="Z79" s="979">
        <f t="shared" ref="Z79:Z84" si="20">(P79-W79)*1000/invanare</f>
        <v>755.61573567452831</v>
      </c>
      <c r="AA79" s="980">
        <f t="shared" ref="AA79:AA84" si="21">Y79*1000/invanare</f>
        <v>826.54186254810656</v>
      </c>
      <c r="AB79" s="980">
        <v>809.87199999999996</v>
      </c>
      <c r="AC79" s="2270">
        <f t="shared" si="19"/>
        <v>2.0583329894238358E-2</v>
      </c>
      <c r="AD79" s="2197"/>
      <c r="AE79" s="2299">
        <f>F85-F76-F71-F70</f>
        <v>52706.025000000001</v>
      </c>
      <c r="AF79" s="2319">
        <v>7897.942</v>
      </c>
      <c r="AG79" s="2308">
        <v>5392.9989999999998</v>
      </c>
      <c r="AH79" s="1832">
        <f>W79-V79-SUM(Motpart!Y31:Z31)</f>
        <v>741.34900000000016</v>
      </c>
    </row>
    <row r="80" spans="1:34">
      <c r="A80" s="2085" t="s">
        <v>439</v>
      </c>
      <c r="B80" s="881" t="s">
        <v>106</v>
      </c>
      <c r="C80" s="20">
        <v>9554.3420000000006</v>
      </c>
      <c r="D80" s="21">
        <v>3551.3220000000001</v>
      </c>
      <c r="E80" s="20">
        <v>161.173</v>
      </c>
      <c r="F80" s="20">
        <v>8767.4410000000007</v>
      </c>
      <c r="G80" s="20">
        <v>1846.9760000000001</v>
      </c>
      <c r="H80" s="21">
        <v>137.41300000000001</v>
      </c>
      <c r="I80" s="20">
        <v>298.36200000000002</v>
      </c>
      <c r="J80" s="100">
        <v>31.193000000000001</v>
      </c>
      <c r="K80" s="31"/>
      <c r="L80" s="103">
        <v>482.36700000000002</v>
      </c>
      <c r="M80" s="20">
        <v>957.60900000000004</v>
      </c>
      <c r="N80" s="21">
        <v>114.595</v>
      </c>
      <c r="O80" s="371">
        <v>549.43399999999997</v>
      </c>
      <c r="P80" s="370">
        <f>SUM(C80:O80)</f>
        <v>26452.227000000003</v>
      </c>
      <c r="Q80" s="49"/>
      <c r="R80" s="103">
        <v>56.527999999999999</v>
      </c>
      <c r="S80" s="20">
        <v>35.014000000000003</v>
      </c>
      <c r="T80" s="100">
        <v>1588.309</v>
      </c>
      <c r="U80" s="50"/>
      <c r="V80" s="113">
        <v>703.64499999999998</v>
      </c>
      <c r="W80" s="405">
        <f>SUM(R80:V80)</f>
        <v>2383.4960000000001</v>
      </c>
      <c r="X80" s="57"/>
      <c r="Y80" s="996">
        <v>25592.559000000001</v>
      </c>
      <c r="Z80" s="979">
        <f t="shared" si="20"/>
        <v>2302.7152999246296</v>
      </c>
      <c r="AA80" s="980">
        <f t="shared" si="21"/>
        <v>2448.5037110400117</v>
      </c>
      <c r="AB80" s="994">
        <v>2342.3330000000001</v>
      </c>
      <c r="AC80" s="2269">
        <f t="shared" si="19"/>
        <v>4.5326907420939554E-2</v>
      </c>
      <c r="AD80" s="2197"/>
      <c r="AE80" s="2299">
        <f>H85-H76-H71-H70</f>
        <v>18158.643999999997</v>
      </c>
      <c r="AF80" s="2319">
        <v>24068.720000000001</v>
      </c>
      <c r="AG80" s="2308">
        <v>16843.728999999999</v>
      </c>
      <c r="AH80" s="1832">
        <f>W80-V80-SUM(Motpart!Y33:Z33)</f>
        <v>1523.8220000000001</v>
      </c>
    </row>
    <row r="81" spans="1:34">
      <c r="A81" s="2085" t="s">
        <v>442</v>
      </c>
      <c r="B81" s="881" t="s">
        <v>168</v>
      </c>
      <c r="C81" s="20">
        <v>891.00800000000004</v>
      </c>
      <c r="D81" s="21">
        <v>349.26600000000002</v>
      </c>
      <c r="E81" s="20">
        <v>35.124000000000002</v>
      </c>
      <c r="F81" s="20">
        <v>913.71400000000006</v>
      </c>
      <c r="G81" s="20">
        <v>163.63</v>
      </c>
      <c r="H81" s="21">
        <v>288.899</v>
      </c>
      <c r="I81" s="20">
        <v>273.654</v>
      </c>
      <c r="J81" s="100">
        <v>4.7309999999999999</v>
      </c>
      <c r="K81" s="31"/>
      <c r="L81" s="103">
        <v>193.82499999999999</v>
      </c>
      <c r="M81" s="20">
        <v>205.46199999999999</v>
      </c>
      <c r="N81" s="21">
        <v>12.734999999999999</v>
      </c>
      <c r="O81" s="371">
        <v>65.584000000000003</v>
      </c>
      <c r="P81" s="370">
        <f>SUM(C81:O81)</f>
        <v>3397.6320000000001</v>
      </c>
      <c r="Q81" s="49"/>
      <c r="R81" s="103">
        <v>13.523999999999999</v>
      </c>
      <c r="S81" s="20">
        <v>212.65100000000001</v>
      </c>
      <c r="T81" s="100">
        <v>276.53300000000002</v>
      </c>
      <c r="U81" s="50"/>
      <c r="V81" s="113">
        <v>125.76600000000001</v>
      </c>
      <c r="W81" s="405">
        <f>SUM(R81:V81)</f>
        <v>628.47400000000005</v>
      </c>
      <c r="X81" s="57"/>
      <c r="Y81" s="996">
        <v>3223.6610000000001</v>
      </c>
      <c r="Z81" s="979">
        <f t="shared" si="20"/>
        <v>264.93222656851691</v>
      </c>
      <c r="AA81" s="980">
        <f t="shared" si="21"/>
        <v>308.41565791193273</v>
      </c>
      <c r="AB81" s="994">
        <v>307.97300000000001</v>
      </c>
      <c r="AC81" s="2269">
        <f t="shared" si="19"/>
        <v>1.4373270122144245E-3</v>
      </c>
      <c r="AD81" s="2197"/>
      <c r="AE81" s="2296"/>
      <c r="AF81" s="2319">
        <v>2769.1489999999999</v>
      </c>
      <c r="AG81" s="2308">
        <v>2069.248</v>
      </c>
      <c r="AH81" s="1832">
        <f>W81-V81-IFO!G29</f>
        <v>454.51200000000006</v>
      </c>
    </row>
    <row r="82" spans="1:34">
      <c r="A82" s="2085" t="s">
        <v>441</v>
      </c>
      <c r="B82" s="881" t="s">
        <v>107</v>
      </c>
      <c r="C82" s="20">
        <v>2315.42</v>
      </c>
      <c r="D82" s="21">
        <v>916.04700000000003</v>
      </c>
      <c r="E82" s="20">
        <v>44.183999999999997</v>
      </c>
      <c r="F82" s="20">
        <v>46.576999999999998</v>
      </c>
      <c r="G82" s="20">
        <v>285.24599999999998</v>
      </c>
      <c r="H82" s="21">
        <v>11099.981</v>
      </c>
      <c r="I82" s="20">
        <v>132.61000000000001</v>
      </c>
      <c r="J82" s="100">
        <v>13.972</v>
      </c>
      <c r="K82" s="31"/>
      <c r="L82" s="103">
        <v>132.298</v>
      </c>
      <c r="M82" s="20">
        <v>304.58699999999999</v>
      </c>
      <c r="N82" s="21">
        <v>39.398000000000003</v>
      </c>
      <c r="O82" s="371">
        <v>135.529</v>
      </c>
      <c r="P82" s="370">
        <f>SUM(C82:O82)</f>
        <v>15465.849</v>
      </c>
      <c r="Q82" s="49"/>
      <c r="R82" s="103">
        <v>30.052</v>
      </c>
      <c r="S82" s="20">
        <v>30.84</v>
      </c>
      <c r="T82" s="100">
        <v>681.53700000000003</v>
      </c>
      <c r="U82" s="50"/>
      <c r="V82" s="113">
        <v>137.78399999999999</v>
      </c>
      <c r="W82" s="405">
        <f>SUM(R82:V82)</f>
        <v>880.21300000000008</v>
      </c>
      <c r="X82" s="57"/>
      <c r="Y82" s="996">
        <v>15313.075999999999</v>
      </c>
      <c r="Z82" s="979">
        <f t="shared" si="20"/>
        <v>1395.4440380064686</v>
      </c>
      <c r="AA82" s="980">
        <f t="shared" si="21"/>
        <v>1465.0400303243509</v>
      </c>
      <c r="AB82" s="994">
        <v>1485.607</v>
      </c>
      <c r="AC82" s="2269">
        <f t="shared" si="19"/>
        <v>-1.3844152373843847E-2</v>
      </c>
      <c r="AD82" s="2197"/>
      <c r="AE82" s="2296"/>
      <c r="AF82" s="2319">
        <v>14585.617</v>
      </c>
      <c r="AG82" s="2308">
        <v>4181.4920000000002</v>
      </c>
      <c r="AH82" s="1832">
        <f>W82-V82-IFO!G30</f>
        <v>727.4620000000001</v>
      </c>
    </row>
    <row r="83" spans="1:34">
      <c r="A83" s="2085" t="s">
        <v>351</v>
      </c>
      <c r="B83" s="867" t="s">
        <v>108</v>
      </c>
      <c r="C83" s="363">
        <f>SUM(C79:C82)</f>
        <v>15393.459000000001</v>
      </c>
      <c r="D83" s="26">
        <f t="shared" ref="D83:J83" si="22">SUM(D79:D82)</f>
        <v>5859.2710000000006</v>
      </c>
      <c r="E83" s="373">
        <f t="shared" si="22"/>
        <v>368.71400000000006</v>
      </c>
      <c r="F83" s="363">
        <f t="shared" si="22"/>
        <v>12865.491</v>
      </c>
      <c r="G83" s="363">
        <f t="shared" si="22"/>
        <v>2716.6760000000004</v>
      </c>
      <c r="H83" s="26">
        <f t="shared" si="22"/>
        <v>11685.163</v>
      </c>
      <c r="I83" s="531">
        <f t="shared" si="22"/>
        <v>1160.3969999999999</v>
      </c>
      <c r="J83" s="105">
        <f t="shared" si="22"/>
        <v>63.600000000000009</v>
      </c>
      <c r="K83" s="148"/>
      <c r="L83" s="372">
        <f>SUM(L79:L82)</f>
        <v>1179.914</v>
      </c>
      <c r="M83" s="363">
        <f>SUM(M79:M82)</f>
        <v>2074.1590000000001</v>
      </c>
      <c r="N83" s="26">
        <f>SUM(N79:N82)</f>
        <v>190.48499999999999</v>
      </c>
      <c r="O83" s="381">
        <f t="shared" ref="O83" si="23">IF(I$120=0,0,(SUM(C83:E83,G83,I83:M83)-V83)/(SUM(C$110:E$110,G$110,I$110:M$110)-V$110)*I$120)</f>
        <v>943.42732523224083</v>
      </c>
      <c r="P83" s="370">
        <f>SUM(P79:P82)</f>
        <v>54486.812000000005</v>
      </c>
      <c r="Q83" s="49"/>
      <c r="R83" s="372">
        <f>SUM(R79:R82)</f>
        <v>148.43</v>
      </c>
      <c r="S83" s="363">
        <f>SUM(S79:S82)</f>
        <v>580.09500000000003</v>
      </c>
      <c r="T83" s="105">
        <f>SUM(T79:T82)</f>
        <v>2988.1509999999998</v>
      </c>
      <c r="U83" s="49"/>
      <c r="V83" s="117">
        <f>SUM(V79:V82)</f>
        <v>1448.6689999999999</v>
      </c>
      <c r="W83" s="405">
        <f>SUM(W79:W82)</f>
        <v>5165.3450000000003</v>
      </c>
      <c r="X83" s="57"/>
      <c r="Y83" s="998">
        <v>52768.572999999997</v>
      </c>
      <c r="Z83" s="979">
        <f>(P83+P84-W83-W84)*1000/invanare</f>
        <v>4816.0047820934797</v>
      </c>
      <c r="AA83" s="980">
        <f>SUM(Y83:Y84)*1000/invanare</f>
        <v>5150.2477056303069</v>
      </c>
      <c r="AB83" s="980">
        <v>5043.8689999999997</v>
      </c>
      <c r="AC83" s="2269">
        <f t="shared" si="19"/>
        <v>2.1090695581171361E-2</v>
      </c>
      <c r="AD83" s="2197"/>
      <c r="AE83" s="2300">
        <f>IF(ISERROR((F83+F84)/((F83+F84)/1000*invanare)),"",((F83+F84)/(AA83/100000*invanare)))</f>
        <v>24.188563590014784</v>
      </c>
      <c r="AF83" s="2319">
        <v>49321.425000000003</v>
      </c>
      <c r="AG83" s="2308">
        <v>28487.457999999999</v>
      </c>
      <c r="AH83" s="1832">
        <f>W83-V83-IFO!G31</f>
        <v>3447.1450000000004</v>
      </c>
    </row>
    <row r="84" spans="1:34">
      <c r="A84" s="2085" t="s">
        <v>448</v>
      </c>
      <c r="B84" s="867" t="s">
        <v>109</v>
      </c>
      <c r="C84" s="23">
        <v>565.89700000000005</v>
      </c>
      <c r="D84" s="21">
        <v>221.42</v>
      </c>
      <c r="E84" s="23">
        <v>8.2859999999999996</v>
      </c>
      <c r="F84" s="23">
        <v>155.71299999999999</v>
      </c>
      <c r="G84" s="23">
        <v>74.760999999999996</v>
      </c>
      <c r="H84" s="24">
        <v>5.8520000000000003</v>
      </c>
      <c r="I84" s="23">
        <v>16.199000000000002</v>
      </c>
      <c r="J84" s="101">
        <v>1.538</v>
      </c>
      <c r="K84" s="30"/>
      <c r="L84" s="104">
        <v>29.411999999999999</v>
      </c>
      <c r="M84" s="23">
        <v>57.271999999999998</v>
      </c>
      <c r="N84" s="24">
        <v>4.4089999999999998</v>
      </c>
      <c r="O84" s="371">
        <v>31.588999999999999</v>
      </c>
      <c r="P84" s="370">
        <f>SUM(C84:O84)</f>
        <v>1172.3480000000002</v>
      </c>
      <c r="Q84" s="49"/>
      <c r="R84" s="104">
        <v>11.542999999999999</v>
      </c>
      <c r="S84" s="23">
        <v>0.59199999999999997</v>
      </c>
      <c r="T84" s="101">
        <v>111.206</v>
      </c>
      <c r="U84" s="206"/>
      <c r="V84" s="114">
        <v>32.021999999999998</v>
      </c>
      <c r="W84" s="405">
        <f>SUM(R84:V84)</f>
        <v>155.363</v>
      </c>
      <c r="X84" s="57"/>
      <c r="Y84" s="996">
        <v>1063.4949999999999</v>
      </c>
      <c r="Z84" s="979">
        <f t="shared" si="20"/>
        <v>97.297481919335482</v>
      </c>
      <c r="AA84" s="980">
        <f t="shared" si="21"/>
        <v>101.74720918578315</v>
      </c>
      <c r="AB84" s="994">
        <v>98.084000000000003</v>
      </c>
      <c r="AC84" s="2269">
        <f t="shared" si="19"/>
        <v>3.7347673277834767E-2</v>
      </c>
      <c r="AD84" s="2197"/>
      <c r="AE84" s="2296">
        <f>IF(ISERROR(F83+F84/(F83+F84/1000*invanare)),"",(SUM(Motpart!D31,Motpart!D33,Motpart!D35,Motpart!F31,Motpart!F33,Motpart!F35)/(AA83/100000*invanare)))</f>
        <v>19.510779336955803</v>
      </c>
      <c r="AF84" s="2319">
        <v>1016.986</v>
      </c>
      <c r="AG84" s="2308">
        <v>978.76599999999996</v>
      </c>
      <c r="AH84" s="1832">
        <f>W84-V84-SUM(IFO!G33:G34)</f>
        <v>46.501000000000005</v>
      </c>
    </row>
    <row r="85" spans="1:34" ht="13.5" thickBot="1">
      <c r="A85" s="2098" t="s">
        <v>352</v>
      </c>
      <c r="B85" s="872" t="s">
        <v>110</v>
      </c>
      <c r="C85" s="377">
        <f t="shared" ref="C85:J85" si="24">SUM(C70:C71,C77,C83,C84)</f>
        <v>112169.295</v>
      </c>
      <c r="D85" s="378">
        <f t="shared" si="24"/>
        <v>43540.469999999994</v>
      </c>
      <c r="E85" s="374">
        <f t="shared" si="24"/>
        <v>7687.7669999999998</v>
      </c>
      <c r="F85" s="377">
        <f t="shared" si="24"/>
        <v>54499.246000000006</v>
      </c>
      <c r="G85" s="377">
        <f t="shared" si="24"/>
        <v>11772.909000000001</v>
      </c>
      <c r="H85" s="378">
        <f t="shared" si="24"/>
        <v>18206.324999999997</v>
      </c>
      <c r="I85" s="377">
        <f t="shared" si="24"/>
        <v>7764.987000000001</v>
      </c>
      <c r="J85" s="379">
        <f t="shared" si="24"/>
        <v>979.96400000000006</v>
      </c>
      <c r="K85" s="148"/>
      <c r="L85" s="380">
        <f>SUM(L70:L71,L77,L83,L84)</f>
        <v>10218.469000000001</v>
      </c>
      <c r="M85" s="377">
        <f>SUM(M70:M71,M77,M83,M84)</f>
        <v>29249.626999999997</v>
      </c>
      <c r="N85" s="378">
        <f>SUM(N70:N71,N77,N83,N84)</f>
        <v>1083.452</v>
      </c>
      <c r="O85" s="378">
        <f>SUM(O70:O71,O77,O83,O84)</f>
        <v>6896.5953252322406</v>
      </c>
      <c r="P85" s="379">
        <f>SUM(P70:P71,P77,P83,P84)</f>
        <v>304055.16200000001</v>
      </c>
      <c r="Q85" s="49"/>
      <c r="R85" s="380">
        <f>SUM(R70:R71,R77,R83,R84)</f>
        <v>6221.3359999999993</v>
      </c>
      <c r="S85" s="377">
        <f>SUM(S70:S71,S77,S83,S84)</f>
        <v>6670.7479999999987</v>
      </c>
      <c r="T85" s="379">
        <f>SUM(T70:T71,T77,T83,T84)</f>
        <v>23851.712999999996</v>
      </c>
      <c r="U85" s="49"/>
      <c r="V85" s="407">
        <f>SUM(V70:V71,V77,V83,V84)</f>
        <v>22420.736000000001</v>
      </c>
      <c r="W85" s="406">
        <f>SUM(W70:W71,W77,W83,W84)</f>
        <v>59164.533000000003</v>
      </c>
      <c r="X85" s="57"/>
      <c r="Y85" s="1499">
        <v>280491.3</v>
      </c>
      <c r="Z85" s="981"/>
      <c r="AA85" s="982"/>
      <c r="AB85" s="983"/>
      <c r="AC85" s="2272"/>
      <c r="AD85" s="2197"/>
      <c r="AE85" s="2302">
        <f>IF(ISERROR((F83)/((F83)/1000*invanare)),"",SUM(AA77,AA83)*100/AA90)</f>
        <v>39.139847931127647</v>
      </c>
      <c r="AF85" s="2320">
        <v>244890.617</v>
      </c>
      <c r="AG85" s="2309">
        <v>208928.85200000001</v>
      </c>
      <c r="AH85" s="1834">
        <f>SUM(AH70,AH71,AH77,AH83,AH84)</f>
        <v>35600.693999999996</v>
      </c>
    </row>
    <row r="86" spans="1:34" ht="40.5" customHeight="1" thickBot="1">
      <c r="A86" s="2107"/>
      <c r="B86" s="876" t="s">
        <v>111</v>
      </c>
      <c r="C86" s="450"/>
      <c r="D86" s="449"/>
      <c r="E86" s="447"/>
      <c r="F86" s="447"/>
      <c r="G86" s="447"/>
      <c r="H86" s="449"/>
      <c r="I86" s="447"/>
      <c r="J86" s="448"/>
      <c r="K86" s="31"/>
      <c r="L86" s="446"/>
      <c r="M86" s="447"/>
      <c r="N86" s="449"/>
      <c r="O86" s="449"/>
      <c r="P86" s="448"/>
      <c r="Q86" s="50"/>
      <c r="R86" s="446"/>
      <c r="S86" s="447"/>
      <c r="T86" s="448"/>
      <c r="U86" s="50"/>
      <c r="V86" s="444"/>
      <c r="W86" s="445"/>
      <c r="X86" s="31"/>
      <c r="Y86" s="1641" t="s">
        <v>969</v>
      </c>
      <c r="Z86" s="2535"/>
      <c r="AA86" s="2533"/>
      <c r="AB86" s="2533"/>
      <c r="AC86" s="2534"/>
      <c r="AD86" s="2197"/>
      <c r="AE86" s="2303">
        <f>IF(ISERROR((F83)/((F83)/1000*invanare)),"",(F83/((AA83-AA84)/100000*invanare)))</f>
        <v>24.380971984972952</v>
      </c>
      <c r="AF86" s="2321"/>
      <c r="AG86" s="2310"/>
      <c r="AH86" s="1833"/>
    </row>
    <row r="87" spans="1:34">
      <c r="A87" s="2085" t="s">
        <v>258</v>
      </c>
      <c r="B87" s="869" t="s">
        <v>113</v>
      </c>
      <c r="C87" s="20">
        <v>1300.3889999999999</v>
      </c>
      <c r="D87" s="21">
        <v>492.72800000000001</v>
      </c>
      <c r="E87" s="20">
        <v>68.120999999999995</v>
      </c>
      <c r="F87" s="20">
        <v>638.21900000000005</v>
      </c>
      <c r="G87" s="20">
        <v>271.39100000000002</v>
      </c>
      <c r="H87" s="21">
        <v>702.274</v>
      </c>
      <c r="I87" s="20">
        <v>497.76400000000001</v>
      </c>
      <c r="J87" s="100">
        <v>21.248999999999999</v>
      </c>
      <c r="K87" s="31"/>
      <c r="L87" s="103">
        <v>351.14499999999998</v>
      </c>
      <c r="M87" s="20">
        <v>353.05599999999998</v>
      </c>
      <c r="N87" s="21">
        <v>25.19</v>
      </c>
      <c r="O87" s="371">
        <v>112.38500000000001</v>
      </c>
      <c r="P87" s="370">
        <f>SUM(C87:O87)</f>
        <v>4833.9110000000001</v>
      </c>
      <c r="Q87" s="49"/>
      <c r="R87" s="103">
        <v>6.5529999999999999</v>
      </c>
      <c r="S87" s="20">
        <v>329.99200000000002</v>
      </c>
      <c r="T87" s="100">
        <v>3814.5949999999998</v>
      </c>
      <c r="U87" s="50"/>
      <c r="V87" s="113">
        <v>157.24299999999999</v>
      </c>
      <c r="W87" s="405">
        <f>SUM(R87:V87)</f>
        <v>4308.3829999999998</v>
      </c>
      <c r="X87" s="57"/>
      <c r="Y87" s="976">
        <v>4628.4030000000002</v>
      </c>
      <c r="Z87" s="979">
        <f>(P87-W87)*1000/invanare</f>
        <v>50.278569573892</v>
      </c>
      <c r="AA87" s="980">
        <f>Y87*1000/invanare</f>
        <v>442.81081550651982</v>
      </c>
      <c r="AB87" s="1002">
        <v>625.63099999999997</v>
      </c>
      <c r="AC87" s="2270">
        <f>IF(ISERROR((AA87-AB87)/AB87)," ",((AA87-AB87)/AB87))</f>
        <v>-0.29221727263111991</v>
      </c>
      <c r="AD87" s="2197"/>
      <c r="AE87" s="2296"/>
      <c r="AF87" s="2319">
        <v>525.54200000000003</v>
      </c>
      <c r="AG87" s="2308">
        <v>3336.192</v>
      </c>
      <c r="AH87" s="1832">
        <f>W87-V87-SUM(Motpart!Y36:Z36)</f>
        <v>4102.8589999999995</v>
      </c>
    </row>
    <row r="88" spans="1:34">
      <c r="A88" s="2085" t="s">
        <v>259</v>
      </c>
      <c r="B88" s="867" t="s">
        <v>114</v>
      </c>
      <c r="C88" s="23">
        <v>6307.1970000000001</v>
      </c>
      <c r="D88" s="21">
        <v>2421.3270000000002</v>
      </c>
      <c r="E88" s="23">
        <v>263.86500000000001</v>
      </c>
      <c r="F88" s="23">
        <v>164.52500000000001</v>
      </c>
      <c r="G88" s="23">
        <v>420.55799999999999</v>
      </c>
      <c r="H88" s="24">
        <v>156.91300000000001</v>
      </c>
      <c r="I88" s="23">
        <v>196.72</v>
      </c>
      <c r="J88" s="101">
        <v>35.71</v>
      </c>
      <c r="K88" s="31"/>
      <c r="L88" s="104">
        <v>258.892</v>
      </c>
      <c r="M88" s="23">
        <v>560.149</v>
      </c>
      <c r="N88" s="24">
        <v>62.993000000000002</v>
      </c>
      <c r="O88" s="371">
        <v>334.61200000000002</v>
      </c>
      <c r="P88" s="370">
        <f>SUM(C88:O88)</f>
        <v>11183.460999999999</v>
      </c>
      <c r="Q88" s="49"/>
      <c r="R88" s="104">
        <v>22.088000000000001</v>
      </c>
      <c r="S88" s="23">
        <v>5.04</v>
      </c>
      <c r="T88" s="101">
        <v>5234.6909999999998</v>
      </c>
      <c r="U88" s="50"/>
      <c r="V88" s="114">
        <v>712.67700000000002</v>
      </c>
      <c r="W88" s="405">
        <f>SUM(R88:V88)</f>
        <v>5974.4959999999992</v>
      </c>
      <c r="X88" s="57"/>
      <c r="Y88" s="1639">
        <v>10414.025</v>
      </c>
      <c r="Z88" s="979">
        <f>(P88-W88)*1000/invanare</f>
        <v>498.35462460700137</v>
      </c>
      <c r="AA88" s="980">
        <f>Y88*1000/invanare</f>
        <v>996.33564816099317</v>
      </c>
      <c r="AB88" s="1002">
        <v>898.99900000000002</v>
      </c>
      <c r="AC88" s="2270">
        <f>IF(ISERROR((AA88-AB88)/AB88)," ",((AA88-AB88)/AB88))</f>
        <v>0.10827225409704921</v>
      </c>
      <c r="AD88" s="2197"/>
      <c r="AE88" s="2296"/>
      <c r="AF88" s="2319">
        <v>5208.9790000000003</v>
      </c>
      <c r="AG88" s="2308">
        <v>10149.367</v>
      </c>
      <c r="AH88" s="1832">
        <f>W88-V88-SUM(Motpart!Y37:Z37)</f>
        <v>5205.0449999999992</v>
      </c>
    </row>
    <row r="89" spans="1:34" ht="12.75" customHeight="1" thickBot="1">
      <c r="A89" s="2098" t="s">
        <v>260</v>
      </c>
      <c r="B89" s="872" t="s">
        <v>115</v>
      </c>
      <c r="C89" s="383">
        <f>SUM(C87:C88)</f>
        <v>7607.5860000000002</v>
      </c>
      <c r="D89" s="384">
        <f t="shared" ref="D89:P89" si="25">SUM(D87:D88)</f>
        <v>2914.0550000000003</v>
      </c>
      <c r="E89" s="383">
        <f t="shared" si="25"/>
        <v>331.98599999999999</v>
      </c>
      <c r="F89" s="383">
        <f t="shared" si="25"/>
        <v>802.74400000000003</v>
      </c>
      <c r="G89" s="383">
        <f t="shared" si="25"/>
        <v>691.94900000000007</v>
      </c>
      <c r="H89" s="384">
        <f t="shared" si="25"/>
        <v>859.18700000000001</v>
      </c>
      <c r="I89" s="383">
        <f t="shared" si="25"/>
        <v>694.48400000000004</v>
      </c>
      <c r="J89" s="385">
        <f t="shared" si="25"/>
        <v>56.959000000000003</v>
      </c>
      <c r="K89" s="149"/>
      <c r="L89" s="382">
        <f>SUM(L87:L88)</f>
        <v>610.03700000000003</v>
      </c>
      <c r="M89" s="383">
        <f t="shared" si="25"/>
        <v>913.20499999999993</v>
      </c>
      <c r="N89" s="384">
        <f t="shared" si="25"/>
        <v>88.183000000000007</v>
      </c>
      <c r="O89" s="384">
        <f t="shared" si="25"/>
        <v>446.99700000000001</v>
      </c>
      <c r="P89" s="385">
        <f t="shared" si="25"/>
        <v>16017.371999999999</v>
      </c>
      <c r="Q89" s="52"/>
      <c r="R89" s="382">
        <f>SUM(R87:R88)</f>
        <v>28.641000000000002</v>
      </c>
      <c r="S89" s="383">
        <f>SUM(S87:S88)</f>
        <v>335.03200000000004</v>
      </c>
      <c r="T89" s="385">
        <f>SUM(T87:T88)</f>
        <v>9049.2860000000001</v>
      </c>
      <c r="U89" s="52"/>
      <c r="V89" s="409">
        <f>SUM(V87:V88)</f>
        <v>869.92000000000007</v>
      </c>
      <c r="W89" s="408">
        <f>SUM(W87:W88)</f>
        <v>10282.878999999999</v>
      </c>
      <c r="X89" s="58"/>
      <c r="Y89" s="1639">
        <v>15042.432000000001</v>
      </c>
      <c r="Z89" s="1004">
        <f>(P89-W89)*1000/invanare</f>
        <v>548.63319418089338</v>
      </c>
      <c r="AA89" s="1005">
        <f>Y89*1000/invanare</f>
        <v>1439.146846357452</v>
      </c>
      <c r="AB89" s="977">
        <v>1524.6289999999999</v>
      </c>
      <c r="AC89" s="2282">
        <f>IF(ISERROR((AA89-AB89)/AB89)," ",((AA89-AB89)/AB89))</f>
        <v>-5.6067511271626035E-2</v>
      </c>
      <c r="AD89" s="2197"/>
      <c r="AE89" s="2296"/>
      <c r="AF89" s="2326">
        <v>5734.5219999999999</v>
      </c>
      <c r="AG89" s="2313">
        <v>13485.557000000001</v>
      </c>
      <c r="AH89" s="1837">
        <f>W89-V89-SUM(Motpart!Y36:Z37)</f>
        <v>9307.9039999999986</v>
      </c>
    </row>
    <row r="90" spans="1:34" ht="12.75" customHeight="1" thickBot="1">
      <c r="A90" s="2098" t="s">
        <v>261</v>
      </c>
      <c r="B90" s="872" t="s">
        <v>22</v>
      </c>
      <c r="C90" s="377">
        <f t="shared" ref="C90:J90" si="26">SUM(C17,C30,C43,C68,C85,C89)</f>
        <v>270994.16800000001</v>
      </c>
      <c r="D90" s="378">
        <f t="shared" si="26"/>
        <v>106017.77899999998</v>
      </c>
      <c r="E90" s="377">
        <f t="shared" si="26"/>
        <v>26154.384000000002</v>
      </c>
      <c r="F90" s="377">
        <f t="shared" si="26"/>
        <v>137765.53200000001</v>
      </c>
      <c r="G90" s="377">
        <f t="shared" si="26"/>
        <v>39511.989000000001</v>
      </c>
      <c r="H90" s="378">
        <f t="shared" si="26"/>
        <v>27595.221000000001</v>
      </c>
      <c r="I90" s="377">
        <f t="shared" si="26"/>
        <v>21324.016000000003</v>
      </c>
      <c r="J90" s="379">
        <f t="shared" si="26"/>
        <v>13078.576000000003</v>
      </c>
      <c r="K90" s="148"/>
      <c r="L90" s="380">
        <f>SUM(L17,L30,L43,L68,L85,L89)</f>
        <v>41755.615000000005</v>
      </c>
      <c r="M90" s="377">
        <f>SUM(M17,M30,M43,M68,M85,M89)</f>
        <v>88796.72099999999</v>
      </c>
      <c r="N90" s="378">
        <f>SUM(N17,N30,N43,N68,N85,N89)</f>
        <v>3115.2640000000001</v>
      </c>
      <c r="O90" s="378">
        <f>SUM(O17,O30,O43,O68,O85,O89)</f>
        <v>18577.234325232239</v>
      </c>
      <c r="P90" s="379">
        <f>SUM(P17,P30,P43,P68,P85,P89)</f>
        <v>794672.55499999993</v>
      </c>
      <c r="Q90" s="49"/>
      <c r="R90" s="380">
        <f>SUM(R17,R30,R43,R68,R85,R89)</f>
        <v>24434.42</v>
      </c>
      <c r="S90" s="377">
        <f>SUM(S17,S30,S43,S68,S85,S89)</f>
        <v>8010.7839999999987</v>
      </c>
      <c r="T90" s="379">
        <f>SUM(T17,T30,T43,T68,T85,T89)</f>
        <v>83423.772999999986</v>
      </c>
      <c r="U90" s="49"/>
      <c r="V90" s="407">
        <f>SUM(V17,V30,V43,V68,V85,V89)</f>
        <v>68354.046999999991</v>
      </c>
      <c r="W90" s="406">
        <f>SUM(W17,W30,W43,W68,W85,W89)</f>
        <v>184223.02399999998</v>
      </c>
      <c r="X90" s="57"/>
      <c r="Y90" s="1003">
        <v>712752.98199999996</v>
      </c>
      <c r="Z90" s="1004">
        <f>(P90-W90)*1000/invanare</f>
        <v>58403.22345476022</v>
      </c>
      <c r="AA90" s="1005">
        <f>SUM(AA17,AA30,AA37,AA42,AA51,AA67,AA77,AA83,AA89)</f>
        <v>67951.761933181187</v>
      </c>
      <c r="AB90" s="977">
        <v>66307.572</v>
      </c>
      <c r="AC90" s="2282">
        <f>IF(ISERROR((AA90-AB90)/AB90)," ",((AA90-AB90)/AB90))</f>
        <v>2.4796412892047794E-2</v>
      </c>
      <c r="AD90" s="2197"/>
      <c r="AE90" s="2304">
        <f>IF(ISERROR(F90/(AA90/1000*invanare)),"",(F90/(AA90/100000*invanare)))</f>
        <v>19.396657844507814</v>
      </c>
      <c r="AF90" s="2327">
        <v>610449.65599999996</v>
      </c>
      <c r="AG90" s="2314">
        <v>560957.89599999995</v>
      </c>
      <c r="AH90" s="1838">
        <f>SUM(AH17,AH30,AH43,AH51,AH67,AH85,AH89)</f>
        <v>102303.27199999998</v>
      </c>
    </row>
    <row r="91" spans="1:34" ht="38.25" customHeight="1" thickBot="1">
      <c r="A91" s="2102"/>
      <c r="B91" s="873" t="s">
        <v>116</v>
      </c>
      <c r="C91" s="454"/>
      <c r="D91" s="455"/>
      <c r="E91" s="456"/>
      <c r="F91" s="456"/>
      <c r="G91" s="456"/>
      <c r="H91" s="455"/>
      <c r="I91" s="456"/>
      <c r="J91" s="457"/>
      <c r="K91" s="31"/>
      <c r="L91" s="462"/>
      <c r="M91" s="456"/>
      <c r="N91" s="455"/>
      <c r="O91" s="455"/>
      <c r="P91" s="457"/>
      <c r="Q91" s="50"/>
      <c r="R91" s="462"/>
      <c r="S91" s="456"/>
      <c r="T91" s="457"/>
      <c r="U91" s="50"/>
      <c r="V91" s="464"/>
      <c r="W91" s="465"/>
      <c r="X91" s="31"/>
      <c r="Y91" s="1641" t="s">
        <v>972</v>
      </c>
      <c r="Z91" s="2535"/>
      <c r="AA91" s="2533"/>
      <c r="AB91" s="2533"/>
      <c r="AC91" s="2534"/>
      <c r="AD91" s="2197"/>
      <c r="AE91" s="2296">
        <f>IF(ISERROR(F90/(AA90/1000*invanare)),"",((SUM(Motpart!D40,Motpart!F40)-SUM(Motpart!D38,Motpart!D39,Motpart!F38,Motpart!F39))/(AA90/100000*invanare)))</f>
        <v>15.31955397678257</v>
      </c>
      <c r="AF91" s="2322"/>
      <c r="AG91" s="2311"/>
      <c r="AH91" s="1835"/>
    </row>
    <row r="92" spans="1:34">
      <c r="A92" s="2102"/>
      <c r="B92" s="873" t="s">
        <v>117</v>
      </c>
      <c r="C92" s="458"/>
      <c r="D92" s="459"/>
      <c r="E92" s="460"/>
      <c r="F92" s="460"/>
      <c r="G92" s="460"/>
      <c r="H92" s="459"/>
      <c r="I92" s="460"/>
      <c r="J92" s="461"/>
      <c r="K92" s="31"/>
      <c r="L92" s="463"/>
      <c r="M92" s="460"/>
      <c r="N92" s="459"/>
      <c r="O92" s="459"/>
      <c r="P92" s="461"/>
      <c r="Q92" s="50"/>
      <c r="R92" s="463"/>
      <c r="S92" s="460"/>
      <c r="T92" s="461"/>
      <c r="U92" s="50"/>
      <c r="V92" s="466"/>
      <c r="W92" s="467"/>
      <c r="X92" s="31"/>
      <c r="Y92" s="1496"/>
      <c r="Z92" s="972"/>
      <c r="AA92" s="972"/>
      <c r="AB92" s="973"/>
      <c r="AC92" s="2267"/>
      <c r="AD92" s="2197"/>
      <c r="AE92" s="2299">
        <f>(C113-C109+D113-D109)*1000/invanare</f>
        <v>39205.232500402308</v>
      </c>
      <c r="AF92" s="2325"/>
      <c r="AG92" s="2312"/>
      <c r="AH92" s="1836"/>
    </row>
    <row r="93" spans="1:34" s="537" customFormat="1">
      <c r="A93" s="2108" t="s">
        <v>262</v>
      </c>
      <c r="B93" s="882" t="s">
        <v>118</v>
      </c>
      <c r="C93" s="66">
        <v>112.435</v>
      </c>
      <c r="D93" s="1376">
        <v>54.540999999999997</v>
      </c>
      <c r="E93" s="66">
        <v>313.41500000000002</v>
      </c>
      <c r="F93" s="66">
        <v>27.233000000000001</v>
      </c>
      <c r="G93" s="66">
        <v>199.94200000000001</v>
      </c>
      <c r="H93" s="1376">
        <v>8.5180000000000007</v>
      </c>
      <c r="I93" s="66">
        <v>137.82499999999999</v>
      </c>
      <c r="J93" s="99">
        <v>315.70699999999999</v>
      </c>
      <c r="K93" s="533"/>
      <c r="L93" s="439">
        <v>94.070999999999998</v>
      </c>
      <c r="M93" s="66">
        <v>135.06899999999999</v>
      </c>
      <c r="N93" s="1376">
        <v>1.8460000000000001</v>
      </c>
      <c r="O93" s="1377">
        <v>36.1</v>
      </c>
      <c r="P93" s="436">
        <f>SUM(C93:O93)</f>
        <v>1436.7019999999998</v>
      </c>
      <c r="Q93" s="534"/>
      <c r="R93" s="439">
        <v>9.1129999999999995</v>
      </c>
      <c r="S93" s="66">
        <v>533.07000000000005</v>
      </c>
      <c r="T93" s="99">
        <v>1732.875</v>
      </c>
      <c r="U93" s="535"/>
      <c r="V93" s="1378">
        <v>310.58300000000003</v>
      </c>
      <c r="W93" s="1379">
        <f>SUM(R93:V93)</f>
        <v>2585.6410000000001</v>
      </c>
      <c r="X93" s="536"/>
      <c r="Y93" s="976">
        <v>1121.367</v>
      </c>
      <c r="Z93" s="1006"/>
      <c r="AA93" s="1007"/>
      <c r="AB93" s="1007"/>
      <c r="AC93" s="2283"/>
      <c r="AD93" s="2197"/>
      <c r="AE93" s="2305">
        <f>IF(ISERROR(F90/(AA90/1000*invanare)),"",AE92*invanare/10/(P125-P109+J109))</f>
        <v>56.586267939613265</v>
      </c>
      <c r="AF93" s="2319">
        <v>-1148.9390000000001</v>
      </c>
      <c r="AG93" s="2308">
        <v>1090.367</v>
      </c>
      <c r="AH93" s="1832">
        <f>W93-V93-(IF(AND(Motpart!$Y$38="",Motpart!$Z$38=""),0,IF(AND(Motpart!$Y$38=0,Motpart!$Z$38=0),0,((T93/$T$109)*(Motpart!$Y$38+Motpart!$Z$38)))))</f>
        <v>2230.3850915752482</v>
      </c>
    </row>
    <row r="94" spans="1:34">
      <c r="A94" s="2085" t="s">
        <v>263</v>
      </c>
      <c r="B94" s="867" t="s">
        <v>23</v>
      </c>
      <c r="C94" s="23">
        <v>36.47</v>
      </c>
      <c r="D94" s="21">
        <v>14.167</v>
      </c>
      <c r="E94" s="23">
        <v>64.929000000000002</v>
      </c>
      <c r="F94" s="23">
        <v>18.332999999999998</v>
      </c>
      <c r="G94" s="23">
        <v>33.493000000000002</v>
      </c>
      <c r="H94" s="24">
        <v>0.28199999999999997</v>
      </c>
      <c r="I94" s="23">
        <v>2.911</v>
      </c>
      <c r="J94" s="101">
        <v>343.988</v>
      </c>
      <c r="K94" s="31"/>
      <c r="L94" s="104">
        <v>6.2469999999999999</v>
      </c>
      <c r="M94" s="23">
        <v>52.698999999999998</v>
      </c>
      <c r="N94" s="24">
        <v>0.307</v>
      </c>
      <c r="O94" s="371">
        <v>13.994</v>
      </c>
      <c r="P94" s="370">
        <f>SUM(C94:O94)</f>
        <v>587.81999999999994</v>
      </c>
      <c r="Q94" s="49"/>
      <c r="R94" s="104">
        <v>123.27200000000001</v>
      </c>
      <c r="S94" s="23">
        <v>17.475999999999999</v>
      </c>
      <c r="T94" s="101">
        <v>366.16800000000001</v>
      </c>
      <c r="U94" s="50"/>
      <c r="V94" s="114">
        <v>34.692</v>
      </c>
      <c r="W94" s="405">
        <f>SUM(R94:V94)</f>
        <v>541.60799999999995</v>
      </c>
      <c r="X94" s="57"/>
      <c r="Y94" s="976">
        <v>541.86699999999996</v>
      </c>
      <c r="Z94" s="999"/>
      <c r="AA94" s="1000"/>
      <c r="AB94" s="1001"/>
      <c r="AC94" s="2284"/>
      <c r="AD94" s="2197"/>
      <c r="AE94" s="2296"/>
      <c r="AF94" s="2319">
        <v>46.216000000000001</v>
      </c>
      <c r="AG94" s="2308">
        <v>534.51199999999994</v>
      </c>
      <c r="AH94" s="1832">
        <f>W94-V94-(IF(AND(Motpart!$Y$38="",Motpart!$Z$38=""),0,IF(AND(Motpart!$Y$38=0,Motpart!$Z$38=0),0,((T94/$T$109)*(Motpart!$Y$38+Motpart!$Z$38)))))</f>
        <v>497.47631766164636</v>
      </c>
    </row>
    <row r="95" spans="1:34">
      <c r="A95" s="2085" t="s">
        <v>264</v>
      </c>
      <c r="B95" s="867" t="s">
        <v>24</v>
      </c>
      <c r="C95" s="23">
        <v>222.52199999999999</v>
      </c>
      <c r="D95" s="21">
        <v>85.897000000000006</v>
      </c>
      <c r="E95" s="23">
        <v>265.745</v>
      </c>
      <c r="F95" s="23">
        <v>81.188999999999993</v>
      </c>
      <c r="G95" s="23">
        <v>360.60899999999998</v>
      </c>
      <c r="H95" s="24">
        <v>28.204000000000001</v>
      </c>
      <c r="I95" s="23">
        <v>55.765999999999998</v>
      </c>
      <c r="J95" s="101">
        <v>333.23899999999998</v>
      </c>
      <c r="K95" s="31"/>
      <c r="L95" s="104">
        <v>32.726999999999997</v>
      </c>
      <c r="M95" s="23">
        <v>153.721</v>
      </c>
      <c r="N95" s="24">
        <v>2.593</v>
      </c>
      <c r="O95" s="371">
        <v>36.593000000000004</v>
      </c>
      <c r="P95" s="370">
        <f>SUM(C95:O95)</f>
        <v>1658.8050000000003</v>
      </c>
      <c r="Q95" s="49"/>
      <c r="R95" s="104">
        <v>192.922</v>
      </c>
      <c r="S95" s="23">
        <v>258.23500000000001</v>
      </c>
      <c r="T95" s="101">
        <v>1335.5630000000001</v>
      </c>
      <c r="U95" s="50"/>
      <c r="V95" s="114">
        <v>387.64600000000002</v>
      </c>
      <c r="W95" s="405">
        <f>SUM(R95:V95)</f>
        <v>2174.3660000000004</v>
      </c>
      <c r="X95" s="57"/>
      <c r="Y95" s="976">
        <v>1233.4090000000001</v>
      </c>
      <c r="Z95" s="999"/>
      <c r="AA95" s="1000"/>
      <c r="AB95" s="1001"/>
      <c r="AC95" s="2284"/>
      <c r="AD95" s="2197"/>
      <c r="AE95" s="2296"/>
      <c r="AF95" s="2319">
        <v>-515.56600000000003</v>
      </c>
      <c r="AG95" s="2308">
        <v>1161.77</v>
      </c>
      <c r="AH95" s="1832">
        <f>W95-V95-(IF(AND(Motpart!$Y$38="",Motpart!$Z$38=""),0,IF(AND(Motpart!$Y$38=0,Motpart!$Z$38=0),0,((T95/$T$109)*(Motpart!$Y$38+Motpart!$Z$38)))))</f>
        <v>1752.2896552870313</v>
      </c>
    </row>
    <row r="96" spans="1:34">
      <c r="A96" s="2085" t="s">
        <v>265</v>
      </c>
      <c r="B96" s="867" t="s">
        <v>25</v>
      </c>
      <c r="C96" s="23">
        <v>181.44800000000001</v>
      </c>
      <c r="D96" s="21">
        <v>78.106999999999999</v>
      </c>
      <c r="E96" s="23">
        <v>724.32799999999997</v>
      </c>
      <c r="F96" s="23">
        <v>6.6660000000000004</v>
      </c>
      <c r="G96" s="23">
        <v>190.44</v>
      </c>
      <c r="H96" s="24">
        <v>15.125999999999999</v>
      </c>
      <c r="I96" s="23">
        <v>565.89300000000003</v>
      </c>
      <c r="J96" s="101">
        <v>1667.6780000000001</v>
      </c>
      <c r="K96" s="31"/>
      <c r="L96" s="104">
        <v>92.058000000000007</v>
      </c>
      <c r="M96" s="23">
        <v>195.84</v>
      </c>
      <c r="N96" s="24">
        <v>2.4409999999999998</v>
      </c>
      <c r="O96" s="371">
        <v>165.61199999999999</v>
      </c>
      <c r="P96" s="370">
        <f>SUM(C96:O96)</f>
        <v>3885.6370000000002</v>
      </c>
      <c r="Q96" s="49"/>
      <c r="R96" s="104">
        <v>15.002000000000001</v>
      </c>
      <c r="S96" s="23">
        <v>721.09500000000003</v>
      </c>
      <c r="T96" s="101">
        <v>2245.8829999999998</v>
      </c>
      <c r="U96" s="50"/>
      <c r="V96" s="114">
        <v>299.61200000000002</v>
      </c>
      <c r="W96" s="405">
        <f>SUM(R96:V96)</f>
        <v>3281.5919999999996</v>
      </c>
      <c r="X96" s="57"/>
      <c r="Y96" s="976">
        <v>3563.96</v>
      </c>
      <c r="Z96" s="999"/>
      <c r="AA96" s="1000"/>
      <c r="AB96" s="1001"/>
      <c r="AC96" s="2284"/>
      <c r="AD96" s="2197"/>
      <c r="AE96" s="2296"/>
      <c r="AF96" s="2319">
        <v>604.04899999999998</v>
      </c>
      <c r="AG96" s="2308">
        <v>3564.2269999999999</v>
      </c>
      <c r="AH96" s="1832">
        <f>W96-V96-(IF(AND(Motpart!$Y$38="",Motpart!$Z$38=""),0,IF(AND(Motpart!$Y$38=0,Motpart!$Z$38=0),0,((T96/$T$109)*(Motpart!$Y$38+Motpart!$Z$38)))))</f>
        <v>2924.0819256485856</v>
      </c>
    </row>
    <row r="97" spans="1:34">
      <c r="A97" s="2085" t="s">
        <v>266</v>
      </c>
      <c r="B97" s="867" t="s">
        <v>26</v>
      </c>
      <c r="C97" s="363">
        <f>SUM(C93:C96)</f>
        <v>552.875</v>
      </c>
      <c r="D97" s="26">
        <f t="shared" ref="D97:P97" si="27">SUM(D93:D96)</f>
        <v>232.71200000000002</v>
      </c>
      <c r="E97" s="363">
        <f t="shared" si="27"/>
        <v>1368.4169999999999</v>
      </c>
      <c r="F97" s="363">
        <f t="shared" si="27"/>
        <v>133.42099999999999</v>
      </c>
      <c r="G97" s="363">
        <f t="shared" si="27"/>
        <v>784.48399999999992</v>
      </c>
      <c r="H97" s="26">
        <f t="shared" si="27"/>
        <v>52.13</v>
      </c>
      <c r="I97" s="363">
        <f t="shared" si="27"/>
        <v>762.39499999999998</v>
      </c>
      <c r="J97" s="105">
        <f t="shared" si="27"/>
        <v>2660.6120000000001</v>
      </c>
      <c r="K97" s="148"/>
      <c r="L97" s="372">
        <f>SUM(L93:L96)</f>
        <v>225.10300000000001</v>
      </c>
      <c r="M97" s="363">
        <f t="shared" si="27"/>
        <v>537.32899999999995</v>
      </c>
      <c r="N97" s="26">
        <f t="shared" si="27"/>
        <v>7.1870000000000003</v>
      </c>
      <c r="O97" s="26">
        <f t="shared" si="27"/>
        <v>252.29900000000001</v>
      </c>
      <c r="P97" s="105">
        <f t="shared" si="27"/>
        <v>7568.9639999999999</v>
      </c>
      <c r="Q97" s="49"/>
      <c r="R97" s="372">
        <f>SUM(R93:R96)</f>
        <v>340.30900000000003</v>
      </c>
      <c r="S97" s="363">
        <f>SUM(S93:S96)</f>
        <v>1529.8760000000002</v>
      </c>
      <c r="T97" s="105">
        <f>SUM(T93:T96)</f>
        <v>5680.4889999999996</v>
      </c>
      <c r="U97" s="50"/>
      <c r="V97" s="117">
        <f>SUM(V93:V96)</f>
        <v>1032.5330000000001</v>
      </c>
      <c r="W97" s="118">
        <f>SUM(W93:W96)</f>
        <v>8583.2069999999985</v>
      </c>
      <c r="X97" s="57"/>
      <c r="Y97" s="976">
        <v>6460.6130000000003</v>
      </c>
      <c r="Z97" s="999"/>
      <c r="AA97" s="1000"/>
      <c r="AB97" s="1001"/>
      <c r="AC97" s="2284"/>
      <c r="AD97" s="2197"/>
      <c r="AE97" s="2296"/>
      <c r="AF97" s="2319">
        <v>-1014.248</v>
      </c>
      <c r="AG97" s="2308">
        <v>6350.8879999999999</v>
      </c>
      <c r="AH97" s="1832">
        <f>SUM(AH93:AH96)</f>
        <v>7404.2329901725116</v>
      </c>
    </row>
    <row r="98" spans="1:34">
      <c r="A98" s="2107"/>
      <c r="B98" s="876" t="s">
        <v>119</v>
      </c>
      <c r="C98" s="474"/>
      <c r="D98" s="473"/>
      <c r="E98" s="471"/>
      <c r="F98" s="471"/>
      <c r="G98" s="471"/>
      <c r="H98" s="473"/>
      <c r="I98" s="471"/>
      <c r="J98" s="472"/>
      <c r="K98" s="31"/>
      <c r="L98" s="470"/>
      <c r="M98" s="471"/>
      <c r="N98" s="473"/>
      <c r="O98" s="473"/>
      <c r="P98" s="472"/>
      <c r="Q98" s="50"/>
      <c r="R98" s="470"/>
      <c r="S98" s="471"/>
      <c r="T98" s="472"/>
      <c r="U98" s="50"/>
      <c r="V98" s="468"/>
      <c r="W98" s="469"/>
      <c r="X98" s="31"/>
      <c r="Y98" s="976"/>
      <c r="Z98" s="999"/>
      <c r="AA98" s="1000"/>
      <c r="AB98" s="1001"/>
      <c r="AC98" s="2284"/>
      <c r="AD98" s="2197"/>
      <c r="AE98" s="2296"/>
      <c r="AF98" s="2319"/>
      <c r="AG98" s="2308"/>
      <c r="AH98" s="1832"/>
    </row>
    <row r="99" spans="1:34">
      <c r="A99" s="2085" t="s">
        <v>267</v>
      </c>
      <c r="B99" s="869" t="s">
        <v>120</v>
      </c>
      <c r="C99" s="20">
        <v>25.472000000000001</v>
      </c>
      <c r="D99" s="21">
        <v>10.138</v>
      </c>
      <c r="E99" s="20">
        <v>14.137</v>
      </c>
      <c r="F99" s="20">
        <v>9.6530000000000005</v>
      </c>
      <c r="G99" s="20">
        <v>170.42400000000001</v>
      </c>
      <c r="H99" s="21">
        <v>148.74799999999999</v>
      </c>
      <c r="I99" s="20">
        <v>8.0000000000000002E-3</v>
      </c>
      <c r="J99" s="100">
        <v>27.260999999999999</v>
      </c>
      <c r="K99" s="31"/>
      <c r="L99" s="103">
        <v>2.4670000000000001</v>
      </c>
      <c r="M99" s="20">
        <v>1.9159999999999999</v>
      </c>
      <c r="N99" s="21">
        <v>1.7000000000000001E-2</v>
      </c>
      <c r="O99" s="371">
        <v>8.782</v>
      </c>
      <c r="P99" s="370">
        <f>SUM(C99:O99)</f>
        <v>419.02299999999997</v>
      </c>
      <c r="Q99" s="49"/>
      <c r="R99" s="103">
        <v>13.733000000000001</v>
      </c>
      <c r="S99" s="20">
        <v>10.089</v>
      </c>
      <c r="T99" s="100">
        <v>76.872</v>
      </c>
      <c r="U99" s="50"/>
      <c r="V99" s="113">
        <v>2.819</v>
      </c>
      <c r="W99" s="405">
        <f>SUM(R99:V99)</f>
        <v>103.51300000000001</v>
      </c>
      <c r="X99" s="57"/>
      <c r="Y99" s="976">
        <v>415.65300000000002</v>
      </c>
      <c r="Z99" s="999"/>
      <c r="AA99" s="1000"/>
      <c r="AB99" s="1001"/>
      <c r="AC99" s="2284"/>
      <c r="AD99" s="2197"/>
      <c r="AE99" s="2296"/>
      <c r="AF99" s="2319">
        <v>315.51</v>
      </c>
      <c r="AG99" s="2308">
        <v>257.80399999999997</v>
      </c>
      <c r="AH99" s="1832">
        <f>W99-V99-(IF(AND(Motpart!$Y$38="",Motpart!$Z$38=""),0,IF(AND(Motpart!$Y$38=0,Motpart!$Z$38=0),0,((T99/$T$109)*(Motpart!$Y$38+Motpart!$Z$38)))))</f>
        <v>98.712266859163236</v>
      </c>
    </row>
    <row r="100" spans="1:34">
      <c r="A100" s="2085" t="s">
        <v>268</v>
      </c>
      <c r="B100" s="875" t="s">
        <v>844</v>
      </c>
      <c r="C100" s="23">
        <v>128.81800000000001</v>
      </c>
      <c r="D100" s="21">
        <v>59.003</v>
      </c>
      <c r="E100" s="23">
        <v>80.527000000000001</v>
      </c>
      <c r="F100" s="23">
        <v>853.17700000000002</v>
      </c>
      <c r="G100" s="23">
        <v>278.46800000000002</v>
      </c>
      <c r="H100" s="24">
        <v>945.41399999999999</v>
      </c>
      <c r="I100" s="23">
        <v>26.92</v>
      </c>
      <c r="J100" s="101">
        <v>119.623</v>
      </c>
      <c r="K100" s="31"/>
      <c r="L100" s="104">
        <v>17.713000000000001</v>
      </c>
      <c r="M100" s="23">
        <v>55.677999999999997</v>
      </c>
      <c r="N100" s="24">
        <v>1.272</v>
      </c>
      <c r="O100" s="371">
        <v>18.463000000000001</v>
      </c>
      <c r="P100" s="370">
        <f>SUM(C100:O100)</f>
        <v>2585.0760000000005</v>
      </c>
      <c r="Q100" s="49"/>
      <c r="R100" s="1888">
        <v>38.81</v>
      </c>
      <c r="S100" s="23">
        <v>4.28</v>
      </c>
      <c r="T100" s="101">
        <v>149.84399999999999</v>
      </c>
      <c r="U100" s="50"/>
      <c r="V100" s="114">
        <v>58.131</v>
      </c>
      <c r="W100" s="405">
        <f>SUM(R100:V100)</f>
        <v>251.065</v>
      </c>
      <c r="X100" s="57"/>
      <c r="Y100" s="976">
        <v>2526.41</v>
      </c>
      <c r="Z100" s="1008"/>
      <c r="AA100" s="1000"/>
      <c r="AB100" s="1001"/>
      <c r="AC100" s="2284"/>
      <c r="AD100" s="2197"/>
      <c r="AE100" s="2299"/>
      <c r="AF100" s="2319">
        <v>2334.0149999999999</v>
      </c>
      <c r="AG100" s="2308">
        <v>728.35599999999999</v>
      </c>
      <c r="AH100" s="1832">
        <f>W100-V100-(IF(AND(Motpart!$Y$38="",Motpart!$Z$38=""),0,IF(AND(Motpart!$Y$38=0,Motpart!$Z$38=0),0,((T100/$T$109)*(Motpart!$Y$38+Motpart!$Z$38)))))</f>
        <v>189.07107434754471</v>
      </c>
    </row>
    <row r="101" spans="1:34">
      <c r="A101" s="2085" t="s">
        <v>269</v>
      </c>
      <c r="B101" s="867" t="s">
        <v>27</v>
      </c>
      <c r="C101" s="23">
        <v>19.423999999999999</v>
      </c>
      <c r="D101" s="21">
        <v>7.4240000000000004</v>
      </c>
      <c r="E101" s="23">
        <v>3.99</v>
      </c>
      <c r="F101" s="23">
        <v>85.731999999999999</v>
      </c>
      <c r="G101" s="23">
        <v>15.682</v>
      </c>
      <c r="H101" s="24">
        <v>13.906000000000001</v>
      </c>
      <c r="I101" s="23">
        <v>0.20699999999999999</v>
      </c>
      <c r="J101" s="101">
        <v>6.3070000000000004</v>
      </c>
      <c r="K101" s="31"/>
      <c r="L101" s="104">
        <v>0.309</v>
      </c>
      <c r="M101" s="23">
        <v>4.7530000000000001</v>
      </c>
      <c r="N101" s="24">
        <v>0</v>
      </c>
      <c r="O101" s="371">
        <v>2.4740000000000002</v>
      </c>
      <c r="P101" s="370">
        <f>SUM(C101:O101)</f>
        <v>160.20799999999997</v>
      </c>
      <c r="Q101" s="49"/>
      <c r="R101" s="104">
        <v>35.752000000000002</v>
      </c>
      <c r="S101" s="23">
        <v>0.10100000000000001</v>
      </c>
      <c r="T101" s="101">
        <v>77.620999999999995</v>
      </c>
      <c r="U101" s="50"/>
      <c r="V101" s="114">
        <v>2.1139999999999999</v>
      </c>
      <c r="W101" s="405">
        <f>SUM(R101:V101)</f>
        <v>115.58799999999999</v>
      </c>
      <c r="X101" s="57"/>
      <c r="Y101" s="976">
        <v>149.06399999999999</v>
      </c>
      <c r="Z101" s="999"/>
      <c r="AA101" s="1000"/>
      <c r="AB101" s="1001"/>
      <c r="AC101" s="2284"/>
      <c r="AD101" s="2197"/>
      <c r="AE101" s="2296"/>
      <c r="AF101" s="2319">
        <v>44.618000000000002</v>
      </c>
      <c r="AG101" s="2308">
        <v>58.454000000000001</v>
      </c>
      <c r="AH101" s="1832">
        <f>W101-V101-(IF(AND(Motpart!$Y$38="",Motpart!$Z$38=""),0,IF(AND(Motpart!$Y$38=0,Motpart!$Z$38=0),0,((T101/$T$109)*(Motpart!$Y$38+Motpart!$Z$38)))))</f>
        <v>111.47295790242363</v>
      </c>
    </row>
    <row r="102" spans="1:34">
      <c r="A102" s="2085" t="s">
        <v>270</v>
      </c>
      <c r="B102" s="867" t="s">
        <v>28</v>
      </c>
      <c r="C102" s="363">
        <f>SUM(C99:C101)</f>
        <v>173.71400000000003</v>
      </c>
      <c r="D102" s="26">
        <f t="shared" ref="D102:P102" si="28">SUM(D99:D101)</f>
        <v>76.565000000000012</v>
      </c>
      <c r="E102" s="363">
        <f t="shared" si="28"/>
        <v>98.653999999999996</v>
      </c>
      <c r="F102" s="363">
        <f t="shared" si="28"/>
        <v>948.56200000000001</v>
      </c>
      <c r="G102" s="363">
        <f t="shared" si="28"/>
        <v>464.57400000000007</v>
      </c>
      <c r="H102" s="26">
        <f t="shared" si="28"/>
        <v>1108.068</v>
      </c>
      <c r="I102" s="363">
        <f t="shared" si="28"/>
        <v>27.135000000000002</v>
      </c>
      <c r="J102" s="105">
        <f t="shared" si="28"/>
        <v>153.191</v>
      </c>
      <c r="K102" s="148"/>
      <c r="L102" s="372">
        <f>SUM(L99:L101)</f>
        <v>20.489000000000001</v>
      </c>
      <c r="M102" s="363">
        <f t="shared" si="28"/>
        <v>62.346999999999994</v>
      </c>
      <c r="N102" s="26">
        <f t="shared" si="28"/>
        <v>1.2889999999999999</v>
      </c>
      <c r="O102" s="26">
        <f t="shared" si="28"/>
        <v>29.719000000000001</v>
      </c>
      <c r="P102" s="105">
        <f t="shared" si="28"/>
        <v>3164.3070000000007</v>
      </c>
      <c r="Q102" s="49"/>
      <c r="R102" s="372">
        <f>SUM(R99:R101)</f>
        <v>88.295000000000016</v>
      </c>
      <c r="S102" s="363">
        <f>SUM(S99:S101)</f>
        <v>14.47</v>
      </c>
      <c r="T102" s="105">
        <f>SUM(T99:T101)</f>
        <v>304.33699999999999</v>
      </c>
      <c r="U102" s="49"/>
      <c r="V102" s="117">
        <f>SUM(V99:V101)</f>
        <v>63.064</v>
      </c>
      <c r="W102" s="118">
        <f>SUM(W99:W101)</f>
        <v>470.16599999999994</v>
      </c>
      <c r="X102" s="57"/>
      <c r="Y102" s="976">
        <v>3091.127</v>
      </c>
      <c r="Z102" s="999"/>
      <c r="AA102" s="1000"/>
      <c r="AB102" s="1001"/>
      <c r="AC102" s="2284"/>
      <c r="AD102" s="2197"/>
      <c r="AE102" s="2296"/>
      <c r="AF102" s="2319">
        <v>2694.14</v>
      </c>
      <c r="AG102" s="2308">
        <v>1044.614</v>
      </c>
      <c r="AH102" s="1832">
        <f>SUM(AH99:AH101)</f>
        <v>399.25629910913159</v>
      </c>
    </row>
    <row r="103" spans="1:34">
      <c r="A103" s="2107"/>
      <c r="B103" s="876" t="s">
        <v>121</v>
      </c>
      <c r="C103" s="474"/>
      <c r="D103" s="473"/>
      <c r="E103" s="471"/>
      <c r="F103" s="471"/>
      <c r="G103" s="471"/>
      <c r="H103" s="473"/>
      <c r="I103" s="471"/>
      <c r="J103" s="472"/>
      <c r="K103" s="31"/>
      <c r="L103" s="470"/>
      <c r="M103" s="471"/>
      <c r="N103" s="473"/>
      <c r="O103" s="473"/>
      <c r="P103" s="472"/>
      <c r="Q103" s="50"/>
      <c r="R103" s="470"/>
      <c r="S103" s="471"/>
      <c r="T103" s="472"/>
      <c r="U103" s="50"/>
      <c r="V103" s="468"/>
      <c r="W103" s="469"/>
      <c r="X103" s="31"/>
      <c r="Y103" s="976"/>
      <c r="Z103" s="971"/>
      <c r="AA103" s="1679"/>
      <c r="AB103" s="1680"/>
      <c r="AC103" s="2285"/>
      <c r="AD103" s="2197"/>
      <c r="AE103" s="2296"/>
      <c r="AF103" s="2319"/>
      <c r="AG103" s="2308"/>
      <c r="AH103" s="1832"/>
    </row>
    <row r="104" spans="1:34">
      <c r="A104" s="2085" t="s">
        <v>271</v>
      </c>
      <c r="B104" s="869" t="s">
        <v>122</v>
      </c>
      <c r="C104" s="20">
        <v>17.788</v>
      </c>
      <c r="D104" s="21">
        <v>6.7889999999999997</v>
      </c>
      <c r="E104" s="20">
        <v>168.797</v>
      </c>
      <c r="F104" s="20">
        <v>16.248000000000001</v>
      </c>
      <c r="G104" s="20">
        <v>72.076999999999998</v>
      </c>
      <c r="H104" s="21">
        <v>0.11600000000000001</v>
      </c>
      <c r="I104" s="20">
        <v>0.59199999999999997</v>
      </c>
      <c r="J104" s="100">
        <v>94.293999999999997</v>
      </c>
      <c r="K104" s="31"/>
      <c r="L104" s="103">
        <v>0.247</v>
      </c>
      <c r="M104" s="20">
        <v>12.226000000000001</v>
      </c>
      <c r="N104" s="21">
        <v>0.26900000000000002</v>
      </c>
      <c r="O104" s="371">
        <v>7.782</v>
      </c>
      <c r="P104" s="370">
        <f>SUM(C104:O104)</f>
        <v>397.22499999999991</v>
      </c>
      <c r="Q104" s="49"/>
      <c r="R104" s="1890">
        <v>104.39</v>
      </c>
      <c r="S104" s="20">
        <v>0</v>
      </c>
      <c r="T104" s="100">
        <v>967.17600000000004</v>
      </c>
      <c r="U104" s="50"/>
      <c r="V104" s="113">
        <v>48.509</v>
      </c>
      <c r="W104" s="405">
        <f>SUM(R104:V104)</f>
        <v>1120.075</v>
      </c>
      <c r="X104" s="57"/>
      <c r="Y104" s="976">
        <v>346.40199999999999</v>
      </c>
      <c r="Z104" s="1638"/>
      <c r="AA104" s="1625"/>
      <c r="AB104" s="1625"/>
      <c r="AC104" s="2263"/>
      <c r="AD104" s="2197"/>
      <c r="AE104" s="2296"/>
      <c r="AF104" s="2319">
        <v>-722.85199999999998</v>
      </c>
      <c r="AG104" s="2308">
        <v>332.34800000000001</v>
      </c>
      <c r="AH104" s="1832">
        <f>W104-V104-(IF(AND(Motpart!$Y$38="",Motpart!$Z$38=""),0,IF(AND(Motpart!$Y$38=0,Motpart!$Z$38=0),0,((T104/$T$109)*(Motpart!$Y$38+Motpart!$Z$38)))))</f>
        <v>1046.6325426654448</v>
      </c>
    </row>
    <row r="105" spans="1:34">
      <c r="A105" s="2085" t="s">
        <v>272</v>
      </c>
      <c r="B105" s="867" t="s">
        <v>29</v>
      </c>
      <c r="C105" s="23">
        <v>15.279</v>
      </c>
      <c r="D105" s="21">
        <v>5.9119999999999999</v>
      </c>
      <c r="E105" s="23">
        <v>106.34099999999999</v>
      </c>
      <c r="F105" s="23">
        <v>1.24</v>
      </c>
      <c r="G105" s="23">
        <v>15.295999999999999</v>
      </c>
      <c r="H105" s="24">
        <v>3.0529999999999999</v>
      </c>
      <c r="I105" s="23">
        <v>0.378</v>
      </c>
      <c r="J105" s="101">
        <v>29.385000000000002</v>
      </c>
      <c r="K105" s="31"/>
      <c r="L105" s="104">
        <v>0.48499999999999999</v>
      </c>
      <c r="M105" s="23">
        <v>18.294</v>
      </c>
      <c r="N105" s="24">
        <v>8.3539999999999992</v>
      </c>
      <c r="O105" s="371">
        <v>6.9</v>
      </c>
      <c r="P105" s="370">
        <f>SUM(C105:O105)</f>
        <v>210.917</v>
      </c>
      <c r="Q105" s="49"/>
      <c r="R105" s="1888">
        <v>141.124</v>
      </c>
      <c r="S105" s="23">
        <v>0</v>
      </c>
      <c r="T105" s="101">
        <v>16.672999999999998</v>
      </c>
      <c r="U105" s="50"/>
      <c r="V105" s="114">
        <v>45.667999999999999</v>
      </c>
      <c r="W105" s="405">
        <f>SUM(R105:V105)</f>
        <v>203.465</v>
      </c>
      <c r="X105" s="57"/>
      <c r="Y105" s="976">
        <v>164.49799999999999</v>
      </c>
      <c r="Z105" s="1624"/>
      <c r="AA105" s="1625"/>
      <c r="AB105" s="1625"/>
      <c r="AC105" s="2263"/>
      <c r="AD105" s="2197"/>
      <c r="AE105" s="2296"/>
      <c r="AF105" s="2319">
        <v>7.4539999999999997</v>
      </c>
      <c r="AG105" s="2308">
        <v>160.958</v>
      </c>
      <c r="AH105" s="1832">
        <f>W105-V105-(IF(AND(Motpart!$Y$38="",Motpart!$Z$38=""),0,IF(AND(Motpart!$Y$38=0,Motpart!$Z$38=0),0,((T105/$T$109)*(Motpart!$Y$38+Motpart!$Z$38)))))</f>
        <v>157.36717592026784</v>
      </c>
    </row>
    <row r="106" spans="1:34">
      <c r="A106" s="2085" t="s">
        <v>273</v>
      </c>
      <c r="B106" s="867" t="s">
        <v>30</v>
      </c>
      <c r="C106" s="23">
        <v>1603.877</v>
      </c>
      <c r="D106" s="21">
        <v>626.11199999999997</v>
      </c>
      <c r="E106" s="23">
        <v>2355.346</v>
      </c>
      <c r="F106" s="23">
        <v>1822.85</v>
      </c>
      <c r="G106" s="23">
        <v>1377.4490000000001</v>
      </c>
      <c r="H106" s="24">
        <v>4.4980000000000002</v>
      </c>
      <c r="I106" s="23">
        <v>41.311999999999998</v>
      </c>
      <c r="J106" s="101">
        <v>2642.9079999999999</v>
      </c>
      <c r="K106" s="31"/>
      <c r="L106" s="104">
        <v>112.758</v>
      </c>
      <c r="M106" s="23">
        <v>1432.6990000000001</v>
      </c>
      <c r="N106" s="24">
        <v>10.603</v>
      </c>
      <c r="O106" s="371">
        <v>301.43400000000003</v>
      </c>
      <c r="P106" s="370">
        <f>SUM(C106:O106)</f>
        <v>12331.845999999998</v>
      </c>
      <c r="Q106" s="49"/>
      <c r="R106" s="1888">
        <v>10329.968999999999</v>
      </c>
      <c r="S106" s="23">
        <v>12.358000000000001</v>
      </c>
      <c r="T106" s="101">
        <v>434.15199999999999</v>
      </c>
      <c r="U106" s="50"/>
      <c r="V106" s="114">
        <v>1262.441</v>
      </c>
      <c r="W106" s="405">
        <f>SUM(R106:V106)</f>
        <v>12038.92</v>
      </c>
      <c r="X106" s="57"/>
      <c r="Y106" s="976">
        <v>10983.065000000001</v>
      </c>
      <c r="Z106" s="1624"/>
      <c r="AA106" s="1625"/>
      <c r="AB106" s="1625"/>
      <c r="AC106" s="2263"/>
      <c r="AD106" s="2197"/>
      <c r="AE106" s="2296"/>
      <c r="AF106" s="2319">
        <v>292.93200000000002</v>
      </c>
      <c r="AG106" s="2308">
        <v>9242.0499999999993</v>
      </c>
      <c r="AH106" s="1832">
        <f>W106-V106-(IF(AND(Motpart!$Y$38="",Motpart!$Z$38=""),0,IF(AND(Motpart!$Y$38=0,Motpart!$Z$38=0),0,((T106/$T$109)*(Motpart!$Y$38+Motpart!$Z$38)))))</f>
        <v>10765.286714036833</v>
      </c>
    </row>
    <row r="107" spans="1:34">
      <c r="A107" s="2085" t="s">
        <v>274</v>
      </c>
      <c r="B107" s="867" t="s">
        <v>31</v>
      </c>
      <c r="C107" s="23">
        <v>540.78700000000003</v>
      </c>
      <c r="D107" s="21">
        <v>214.86199999999999</v>
      </c>
      <c r="E107" s="23">
        <v>342.99400000000003</v>
      </c>
      <c r="F107" s="23">
        <v>2205.13</v>
      </c>
      <c r="G107" s="23">
        <v>694.38900000000001</v>
      </c>
      <c r="H107" s="24">
        <v>14.64</v>
      </c>
      <c r="I107" s="23">
        <v>27.468</v>
      </c>
      <c r="J107" s="101">
        <v>245.60599999999999</v>
      </c>
      <c r="K107" s="31"/>
      <c r="L107" s="104">
        <v>28.058</v>
      </c>
      <c r="M107" s="23">
        <v>464.42</v>
      </c>
      <c r="N107" s="24">
        <v>4.8369999999999997</v>
      </c>
      <c r="O107" s="371">
        <v>72.656999999999996</v>
      </c>
      <c r="P107" s="370">
        <f>SUM(C107:O107)</f>
        <v>4855.8480000000009</v>
      </c>
      <c r="Q107" s="49"/>
      <c r="R107" s="1888">
        <v>3796.9810000000002</v>
      </c>
      <c r="S107" s="23">
        <v>6.13</v>
      </c>
      <c r="T107" s="101">
        <v>350.73099999999999</v>
      </c>
      <c r="U107" s="50"/>
      <c r="V107" s="114">
        <v>391.464</v>
      </c>
      <c r="W107" s="405">
        <f>SUM(R107:V107)</f>
        <v>4545.3060000000005</v>
      </c>
      <c r="X107" s="57"/>
      <c r="Y107" s="976">
        <v>4439.8440000000001</v>
      </c>
      <c r="Z107" s="1624"/>
      <c r="AA107" s="1625"/>
      <c r="AB107" s="1625"/>
      <c r="AC107" s="2263"/>
      <c r="AD107" s="2197"/>
      <c r="AE107" s="2296"/>
      <c r="AF107" s="2319">
        <v>310.55700000000002</v>
      </c>
      <c r="AG107" s="2308">
        <v>2244.623</v>
      </c>
      <c r="AH107" s="1832">
        <f>W107-V107-(IF(AND(Motpart!$Y$38="",Motpart!$Z$38=""),0,IF(AND(Motpart!$Y$38=0,Motpart!$Z$38=0),0,((T107/$T$109)*(Motpart!$Y$38+Motpart!$Z$38)))))</f>
        <v>4144.8002780958113</v>
      </c>
    </row>
    <row r="108" spans="1:34" ht="12.75" customHeight="1">
      <c r="A108" s="2085" t="s">
        <v>275</v>
      </c>
      <c r="B108" s="867" t="s">
        <v>123</v>
      </c>
      <c r="C108" s="363">
        <f>SUM(C104:C107)</f>
        <v>2177.7309999999998</v>
      </c>
      <c r="D108" s="26">
        <f t="shared" ref="D108:P108" si="29">SUM(D104:D107)</f>
        <v>853.67499999999995</v>
      </c>
      <c r="E108" s="363">
        <f t="shared" si="29"/>
        <v>2973.4780000000001</v>
      </c>
      <c r="F108" s="363">
        <f t="shared" si="29"/>
        <v>4045.4679999999998</v>
      </c>
      <c r="G108" s="363">
        <f t="shared" si="29"/>
        <v>2159.2110000000002</v>
      </c>
      <c r="H108" s="26">
        <f t="shared" si="29"/>
        <v>22.307000000000002</v>
      </c>
      <c r="I108" s="363">
        <f t="shared" si="29"/>
        <v>69.75</v>
      </c>
      <c r="J108" s="105">
        <f t="shared" si="29"/>
        <v>3012.1930000000002</v>
      </c>
      <c r="K108" s="148"/>
      <c r="L108" s="372">
        <f>SUM(L104:L107)</f>
        <v>141.548</v>
      </c>
      <c r="M108" s="363">
        <f t="shared" si="29"/>
        <v>1927.6390000000001</v>
      </c>
      <c r="N108" s="26">
        <f t="shared" si="29"/>
        <v>24.062999999999999</v>
      </c>
      <c r="O108" s="26">
        <f t="shared" si="29"/>
        <v>388.77300000000002</v>
      </c>
      <c r="P108" s="105">
        <f t="shared" si="29"/>
        <v>17795.835999999999</v>
      </c>
      <c r="Q108" s="49"/>
      <c r="R108" s="372">
        <f>SUM(R104:R107)</f>
        <v>14372.463999999998</v>
      </c>
      <c r="S108" s="363">
        <f>SUM(S104:S107)</f>
        <v>18.488</v>
      </c>
      <c r="T108" s="105">
        <f>SUM(T104:T107)</f>
        <v>1768.732</v>
      </c>
      <c r="U108" s="49"/>
      <c r="V108" s="117">
        <f>SUM(V104:V107)</f>
        <v>1748.0819999999999</v>
      </c>
      <c r="W108" s="118">
        <f>SUM(W104:W107)</f>
        <v>17907.766</v>
      </c>
      <c r="X108" s="57"/>
      <c r="Y108" s="976">
        <v>15933.811</v>
      </c>
      <c r="Z108" s="1624"/>
      <c r="AA108" s="1625"/>
      <c r="AB108" s="1625"/>
      <c r="AC108" s="2263"/>
      <c r="AD108" s="2197"/>
      <c r="AE108" s="2296"/>
      <c r="AF108" s="2319">
        <v>-111.92</v>
      </c>
      <c r="AG108" s="2308">
        <v>11979.978999999999</v>
      </c>
      <c r="AH108" s="1832">
        <f>SUM(AH104:AH107)</f>
        <v>16114.086710718355</v>
      </c>
    </row>
    <row r="109" spans="1:34" ht="12.75" customHeight="1">
      <c r="A109" s="2085" t="s">
        <v>276</v>
      </c>
      <c r="B109" s="867" t="s">
        <v>32</v>
      </c>
      <c r="C109" s="363">
        <f>SUM(C97,C102,C108)</f>
        <v>2904.3199999999997</v>
      </c>
      <c r="D109" s="26">
        <f t="shared" ref="D109:P109" si="30">SUM(D97,D102,D108)</f>
        <v>1162.952</v>
      </c>
      <c r="E109" s="363">
        <f t="shared" si="30"/>
        <v>4440.549</v>
      </c>
      <c r="F109" s="363">
        <f t="shared" si="30"/>
        <v>5127.451</v>
      </c>
      <c r="G109" s="363">
        <f t="shared" si="30"/>
        <v>3408.2690000000002</v>
      </c>
      <c r="H109" s="26">
        <f t="shared" si="30"/>
        <v>1182.5050000000001</v>
      </c>
      <c r="I109" s="363">
        <f t="shared" si="30"/>
        <v>859.28</v>
      </c>
      <c r="J109" s="105">
        <f t="shared" si="30"/>
        <v>5825.9960000000001</v>
      </c>
      <c r="K109" s="148"/>
      <c r="L109" s="372">
        <f>SUM(L97,L102,L108)</f>
        <v>387.14</v>
      </c>
      <c r="M109" s="363">
        <f t="shared" si="30"/>
        <v>2527.3150000000001</v>
      </c>
      <c r="N109" s="26">
        <f t="shared" si="30"/>
        <v>32.539000000000001</v>
      </c>
      <c r="O109" s="26">
        <f t="shared" si="30"/>
        <v>670.79100000000005</v>
      </c>
      <c r="P109" s="105">
        <f t="shared" si="30"/>
        <v>28529.107</v>
      </c>
      <c r="Q109" s="49"/>
      <c r="R109" s="372">
        <f>SUM(R97,R102,R108)</f>
        <v>14801.067999999997</v>
      </c>
      <c r="S109" s="363">
        <f>SUM(S97,S102,S108)</f>
        <v>1562.8340000000003</v>
      </c>
      <c r="T109" s="105">
        <f>SUM(T97,T102,T108)</f>
        <v>7753.5579999999991</v>
      </c>
      <c r="U109" s="49"/>
      <c r="V109" s="117">
        <f>SUM(V97,V102,V108)</f>
        <v>2843.6790000000001</v>
      </c>
      <c r="W109" s="118">
        <f>SUM(W97,W102,W108)</f>
        <v>26961.138999999996</v>
      </c>
      <c r="X109" s="57"/>
      <c r="Y109" s="976">
        <v>25485.555</v>
      </c>
      <c r="Z109" s="979">
        <f>(P109-W109)*1000/invanare</f>
        <v>150.01139459293603</v>
      </c>
      <c r="AA109" s="980">
        <f>Y109*1000/invanare</f>
        <v>2438.2663724801546</v>
      </c>
      <c r="AB109" s="994">
        <v>2382.0949999999998</v>
      </c>
      <c r="AC109" s="2270">
        <f>IF(ISERROR((AA109-AB109)/AB109)," ",((AA109-AB109)/AB109))</f>
        <v>2.3580660082891232E-2</v>
      </c>
      <c r="AD109" s="2197"/>
      <c r="AE109" s="2300">
        <f>IF(ISERROR(F109/(AA109/1000*invanare)),"",(F109/(AA109/100000*invanare)))</f>
        <v>20.119047829250722</v>
      </c>
      <c r="AF109" s="2319">
        <v>1567.99</v>
      </c>
      <c r="AG109" s="2308">
        <v>19375.491000000002</v>
      </c>
      <c r="AH109" s="1832">
        <f>W109-V109-SUM(Motpart!Y38:Z38)</f>
        <v>23917.575999999997</v>
      </c>
    </row>
    <row r="110" spans="1:34" ht="12.75" customHeight="1" thickBot="1">
      <c r="A110" s="2098" t="s">
        <v>277</v>
      </c>
      <c r="B110" s="867" t="s">
        <v>124</v>
      </c>
      <c r="C110" s="363">
        <f>SUM(C90,C109)</f>
        <v>273898.48800000001</v>
      </c>
      <c r="D110" s="386">
        <f t="shared" ref="D110:P110" si="31">SUM(D90,D109)</f>
        <v>107180.73099999999</v>
      </c>
      <c r="E110" s="363">
        <f t="shared" si="31"/>
        <v>30594.933000000001</v>
      </c>
      <c r="F110" s="363">
        <f t="shared" si="31"/>
        <v>142892.98300000001</v>
      </c>
      <c r="G110" s="363">
        <f t="shared" si="31"/>
        <v>42920.258000000002</v>
      </c>
      <c r="H110" s="26">
        <f t="shared" si="31"/>
        <v>28777.726000000002</v>
      </c>
      <c r="I110" s="363">
        <f t="shared" si="31"/>
        <v>22183.296000000002</v>
      </c>
      <c r="J110" s="105">
        <f t="shared" si="31"/>
        <v>18904.572000000004</v>
      </c>
      <c r="K110" s="148"/>
      <c r="L110" s="372">
        <f>SUM(L90,L109)</f>
        <v>42142.755000000005</v>
      </c>
      <c r="M110" s="363">
        <f t="shared" si="31"/>
        <v>91324.035999999993</v>
      </c>
      <c r="N110" s="378">
        <f t="shared" si="31"/>
        <v>3147.8030000000003</v>
      </c>
      <c r="O110" s="378">
        <f t="shared" si="31"/>
        <v>19248.02532523224</v>
      </c>
      <c r="P110" s="105">
        <f t="shared" si="31"/>
        <v>823201.66199999989</v>
      </c>
      <c r="Q110" s="49"/>
      <c r="R110" s="372">
        <f>SUM(R90,R109)</f>
        <v>39235.487999999998</v>
      </c>
      <c r="S110" s="363">
        <f>SUM(S90,S109)</f>
        <v>9573.6179999999986</v>
      </c>
      <c r="T110" s="105">
        <f>SUM(T90,T109)</f>
        <v>91177.330999999991</v>
      </c>
      <c r="U110" s="49"/>
      <c r="V110" s="117">
        <f>SUM(V90,V109)</f>
        <v>71197.725999999995</v>
      </c>
      <c r="W110" s="118">
        <f>SUM(W90,W109)</f>
        <v>211184.16299999997</v>
      </c>
      <c r="X110" s="57"/>
      <c r="Y110" s="998">
        <v>738238.54</v>
      </c>
      <c r="Z110" s="1004">
        <f>Z90+Z109</f>
        <v>58553.234849353154</v>
      </c>
      <c r="AA110" s="1005">
        <f>AA90+AA109</f>
        <v>70390.028305661341</v>
      </c>
      <c r="AB110" s="1005">
        <f>AB90+AB109</f>
        <v>68689.667000000001</v>
      </c>
      <c r="AC110" s="2286"/>
      <c r="AD110" s="2197"/>
      <c r="AE110" s="2298">
        <f>IF(ISERROR(F109/(AA109/1000*invanare)),"",SUM(Motpart!D38,Motpart!F38)/(AA109/100000*invanare))</f>
        <v>11.204790321419328</v>
      </c>
      <c r="AF110" s="2328">
        <v>612017.63500000001</v>
      </c>
      <c r="AG110" s="2315">
        <v>580333.38399999996</v>
      </c>
      <c r="AH110" s="1839">
        <f>AH90+AH109</f>
        <v>126220.84799999998</v>
      </c>
    </row>
    <row r="111" spans="1:34">
      <c r="A111" s="2085" t="s">
        <v>278</v>
      </c>
      <c r="B111" s="883" t="s">
        <v>33</v>
      </c>
      <c r="C111" s="28">
        <v>3340.0169999999998</v>
      </c>
      <c r="D111" s="29">
        <v>1346.097</v>
      </c>
      <c r="E111" s="28">
        <v>8002.241</v>
      </c>
      <c r="F111" s="28">
        <v>274.49099999999999</v>
      </c>
      <c r="G111" s="28">
        <v>5581.63</v>
      </c>
      <c r="H111" s="29">
        <v>7.0179999999999998</v>
      </c>
      <c r="I111" s="28">
        <v>12248.226000000001</v>
      </c>
      <c r="J111" s="102">
        <v>15626.743</v>
      </c>
      <c r="K111" s="31"/>
      <c r="L111" s="106">
        <v>545.16099999999994</v>
      </c>
      <c r="M111" s="28">
        <v>3700.306</v>
      </c>
      <c r="N111" s="387">
        <v>0</v>
      </c>
      <c r="O111" s="388">
        <v>0</v>
      </c>
      <c r="P111" s="116">
        <f>SUM(C111:O111)</f>
        <v>50671.93</v>
      </c>
      <c r="Q111" s="49"/>
      <c r="R111" s="106">
        <v>127.39400000000001</v>
      </c>
      <c r="S111" s="28">
        <v>4202.5889999999999</v>
      </c>
      <c r="T111" s="102">
        <v>1131.1969999999999</v>
      </c>
      <c r="U111" s="50"/>
      <c r="V111" s="115">
        <v>45207.822</v>
      </c>
      <c r="W111" s="116">
        <f>SUM(R111:V111)</f>
        <v>50669.002</v>
      </c>
      <c r="X111" s="57"/>
      <c r="Y111" s="1009"/>
      <c r="Z111" s="999"/>
      <c r="AA111" s="1000"/>
      <c r="AB111" s="1001"/>
      <c r="AC111" s="2284"/>
      <c r="AD111" s="2197"/>
      <c r="AE111" s="2293"/>
      <c r="AF111" s="2318"/>
      <c r="AG111" s="1590"/>
      <c r="AH111" s="1830"/>
    </row>
    <row r="112" spans="1:34" ht="13.5" thickBot="1">
      <c r="A112" s="2100" t="s">
        <v>279</v>
      </c>
      <c r="B112" s="867" t="s">
        <v>34</v>
      </c>
      <c r="C112" s="23">
        <v>20135.906999999999</v>
      </c>
      <c r="D112" s="21">
        <v>7951.9030000000002</v>
      </c>
      <c r="E112" s="23">
        <v>5665.49</v>
      </c>
      <c r="F112" s="23">
        <v>524.36400000000003</v>
      </c>
      <c r="G112" s="23">
        <v>12638.645</v>
      </c>
      <c r="H112" s="24">
        <v>392.108</v>
      </c>
      <c r="I112" s="23">
        <v>671.36099999999999</v>
      </c>
      <c r="J112" s="101">
        <v>2977.6640000000002</v>
      </c>
      <c r="K112" s="31"/>
      <c r="L112" s="104">
        <v>1660.029</v>
      </c>
      <c r="M112" s="23">
        <v>7626.8549999999996</v>
      </c>
      <c r="N112" s="389"/>
      <c r="O112" s="390"/>
      <c r="P112" s="391">
        <f>SUM(C112:O112)</f>
        <v>60244.325999999986</v>
      </c>
      <c r="Q112" s="49"/>
      <c r="R112" s="107">
        <v>448.40100000000001</v>
      </c>
      <c r="S112" s="108">
        <v>139.678</v>
      </c>
      <c r="T112" s="109">
        <v>5585.4560000000001</v>
      </c>
      <c r="U112" s="50"/>
      <c r="V112" s="1892">
        <f>SUM(I118:I120)</f>
        <v>54070.790999999983</v>
      </c>
      <c r="W112" s="118">
        <f>SUM(R112:V112)</f>
        <v>60244.325999999986</v>
      </c>
      <c r="X112" s="57"/>
      <c r="Y112" s="975"/>
      <c r="Z112" s="1010"/>
      <c r="AA112" s="982"/>
      <c r="AB112" s="983"/>
      <c r="AC112" s="2272"/>
      <c r="AD112" s="2197"/>
      <c r="AE112" s="2293"/>
      <c r="AF112" s="2318"/>
      <c r="AG112" s="1590"/>
      <c r="AH112" s="1830"/>
    </row>
    <row r="113" spans="1:34" ht="12.75" customHeight="1" thickBot="1">
      <c r="A113" s="2099" t="s">
        <v>280</v>
      </c>
      <c r="B113" s="884" t="s">
        <v>35</v>
      </c>
      <c r="C113" s="395">
        <f>SUM(C110:C112)</f>
        <v>297374.41200000001</v>
      </c>
      <c r="D113" s="394">
        <f t="shared" ref="D113:W113" si="32">SUM(D110:D112)</f>
        <v>116478.73099999999</v>
      </c>
      <c r="E113" s="393">
        <f t="shared" si="32"/>
        <v>44262.663999999997</v>
      </c>
      <c r="F113" s="393">
        <f t="shared" si="32"/>
        <v>143691.83800000002</v>
      </c>
      <c r="G113" s="393">
        <f t="shared" si="32"/>
        <v>61140.532999999996</v>
      </c>
      <c r="H113" s="394">
        <f t="shared" si="32"/>
        <v>29176.852000000003</v>
      </c>
      <c r="I113" s="396">
        <f t="shared" si="32"/>
        <v>35102.883000000002</v>
      </c>
      <c r="J113" s="397">
        <f t="shared" si="32"/>
        <v>37508.978999999999</v>
      </c>
      <c r="K113" s="148"/>
      <c r="L113" s="392">
        <f>SUM(L110:L112)</f>
        <v>44347.945000000007</v>
      </c>
      <c r="M113" s="393">
        <f t="shared" si="32"/>
        <v>102651.19699999999</v>
      </c>
      <c r="N113" s="394">
        <f t="shared" si="32"/>
        <v>3147.8030000000003</v>
      </c>
      <c r="O113" s="394">
        <f>SUM(O110:O112)</f>
        <v>19248.02532523224</v>
      </c>
      <c r="P113" s="1666">
        <f t="shared" si="32"/>
        <v>934117.91799999995</v>
      </c>
      <c r="Q113" s="49"/>
      <c r="R113" s="395">
        <f t="shared" si="32"/>
        <v>39811.282999999996</v>
      </c>
      <c r="S113" s="393">
        <f t="shared" si="32"/>
        <v>13915.884999999998</v>
      </c>
      <c r="T113" s="394">
        <f t="shared" si="32"/>
        <v>97893.983999999997</v>
      </c>
      <c r="U113" s="112"/>
      <c r="V113" s="410">
        <f t="shared" si="32"/>
        <v>170476.33899999998</v>
      </c>
      <c r="W113" s="1667">
        <f t="shared" si="32"/>
        <v>322097.49099999998</v>
      </c>
      <c r="X113" s="57"/>
      <c r="Y113" s="1011"/>
      <c r="Z113" s="1012"/>
      <c r="AA113" s="1013"/>
      <c r="AB113" s="1014"/>
      <c r="AC113" s="2287"/>
      <c r="AD113" s="2197"/>
      <c r="AE113" s="2306"/>
      <c r="AF113" s="2329"/>
      <c r="AG113" s="2316"/>
      <c r="AH113" s="1840"/>
    </row>
    <row r="114" spans="1:34">
      <c r="A114" s="1231"/>
      <c r="B114" s="1232"/>
      <c r="C114" s="1233"/>
      <c r="D114" s="1676"/>
      <c r="E114" s="14"/>
      <c r="F114" s="208"/>
      <c r="G114" s="30"/>
      <c r="H114" s="42"/>
      <c r="I114" s="2557" t="s">
        <v>535</v>
      </c>
      <c r="J114" s="2558"/>
      <c r="K114" s="2558"/>
      <c r="L114" s="2559"/>
      <c r="M114" s="398">
        <f>I118</f>
        <v>31689.001</v>
      </c>
      <c r="N114" s="179"/>
      <c r="O114" s="32"/>
      <c r="P114" s="1973"/>
      <c r="Q114" s="205"/>
      <c r="R114" s="32"/>
      <c r="S114" s="32"/>
      <c r="T114" s="32"/>
      <c r="U114" s="205"/>
      <c r="V114" s="32"/>
      <c r="W114" s="32"/>
      <c r="X114" s="32"/>
      <c r="Y114" s="32"/>
      <c r="Z114" s="56"/>
      <c r="AA114" s="56"/>
      <c r="AB114" s="56"/>
      <c r="AC114" s="56"/>
      <c r="AD114" s="2197"/>
      <c r="AE114" s="417"/>
      <c r="AF114" s="171"/>
    </row>
    <row r="115" spans="1:34" ht="13.5" thickBot="1">
      <c r="A115" s="11"/>
      <c r="B115" s="41"/>
      <c r="C115" s="2197"/>
      <c r="D115" s="2197"/>
      <c r="E115" s="172"/>
      <c r="F115" s="172"/>
      <c r="G115" s="172"/>
      <c r="H115" s="32"/>
      <c r="I115" s="32"/>
      <c r="J115" s="34"/>
      <c r="K115" s="34"/>
      <c r="L115" s="210"/>
      <c r="M115" s="211"/>
      <c r="N115" s="211"/>
      <c r="O115" s="211"/>
      <c r="P115" s="53"/>
      <c r="Q115" s="1541"/>
      <c r="R115" s="1542"/>
      <c r="S115" s="209"/>
      <c r="T115" s="32"/>
      <c r="U115" s="205"/>
      <c r="V115" s="32"/>
      <c r="W115" s="40"/>
      <c r="X115" s="1541"/>
      <c r="Y115" s="1542"/>
      <c r="Z115" s="185"/>
      <c r="AA115" s="185"/>
      <c r="AB115" s="5"/>
      <c r="AC115" s="12"/>
      <c r="AD115" s="2197"/>
      <c r="AE115" s="417"/>
      <c r="AF115" s="171"/>
    </row>
    <row r="116" spans="1:34" ht="16.5" thickBot="1">
      <c r="A116" s="2197"/>
      <c r="B116" s="2197"/>
      <c r="C116" s="2197"/>
      <c r="D116" s="2197"/>
      <c r="E116" s="36" t="s">
        <v>146</v>
      </c>
      <c r="F116" s="35"/>
      <c r="G116" s="32"/>
      <c r="H116" s="30"/>
      <c r="I116" s="30"/>
      <c r="J116" s="185"/>
      <c r="K116" s="185"/>
      <c r="L116" s="1015">
        <v>960</v>
      </c>
      <c r="M116" s="1028" t="s">
        <v>208</v>
      </c>
      <c r="N116" s="1029"/>
      <c r="O116" s="1029"/>
      <c r="P116" s="399">
        <f>-SUM(D113,J113)</f>
        <v>-153987.71</v>
      </c>
      <c r="Q116" s="1381"/>
      <c r="R116" s="1382"/>
      <c r="S116" s="1015">
        <v>970</v>
      </c>
      <c r="T116" s="1016" t="s">
        <v>147</v>
      </c>
      <c r="U116" s="1017"/>
      <c r="V116" s="1018"/>
      <c r="W116" s="399">
        <f>-V113</f>
        <v>-170476.33899999998</v>
      </c>
      <c r="X116" s="1587"/>
      <c r="Y116" s="1329"/>
      <c r="AA116" s="1234"/>
      <c r="AB116" s="1234"/>
      <c r="AC116" s="1234"/>
      <c r="AD116" s="2197"/>
      <c r="AE116" s="417"/>
      <c r="AF116" s="171"/>
    </row>
    <row r="117" spans="1:34" ht="16.5" customHeight="1">
      <c r="A117" s="2197"/>
      <c r="B117" s="2197"/>
      <c r="C117" s="2197"/>
      <c r="D117" s="2197"/>
      <c r="E117" s="1015">
        <v>922</v>
      </c>
      <c r="F117" s="1029" t="s">
        <v>125</v>
      </c>
      <c r="G117" s="1029"/>
      <c r="H117" s="1029"/>
      <c r="I117" s="401">
        <f>P112-SUM(R112:T112)</f>
        <v>54070.790999999983</v>
      </c>
      <c r="J117" s="281"/>
      <c r="K117" s="185"/>
      <c r="L117" s="1020">
        <v>965</v>
      </c>
      <c r="M117" s="1030" t="s">
        <v>209</v>
      </c>
      <c r="N117" s="1031"/>
      <c r="O117" s="1032"/>
      <c r="P117" s="400">
        <f>-SUM(L113:O113)</f>
        <v>-169394.97032523225</v>
      </c>
      <c r="S117" s="1020">
        <v>982</v>
      </c>
      <c r="T117" s="2527" t="s">
        <v>532</v>
      </c>
      <c r="U117" s="2528"/>
      <c r="V117" s="2529"/>
      <c r="W117" s="215">
        <v>13528</v>
      </c>
      <c r="Y117" s="1234"/>
      <c r="Z117" s="1234"/>
      <c r="AA117" s="1234"/>
      <c r="AB117" s="1234"/>
      <c r="AC117" s="1234"/>
      <c r="AD117" s="2197"/>
      <c r="AE117" s="417"/>
      <c r="AF117" s="171"/>
    </row>
    <row r="118" spans="1:34" ht="19.5" customHeight="1">
      <c r="A118" s="2197"/>
      <c r="B118" s="2197"/>
      <c r="C118" s="2197"/>
      <c r="D118" s="2197"/>
      <c r="E118" s="1020">
        <v>924</v>
      </c>
      <c r="F118" s="2540" t="s">
        <v>1075</v>
      </c>
      <c r="G118" s="2541"/>
      <c r="H118" s="2542"/>
      <c r="I118" s="119">
        <v>31689.001</v>
      </c>
      <c r="J118" s="1490"/>
      <c r="K118" s="185"/>
      <c r="L118" s="1020">
        <v>975</v>
      </c>
      <c r="M118" s="2524" t="s">
        <v>1154</v>
      </c>
      <c r="N118" s="2525"/>
      <c r="O118" s="2526"/>
      <c r="P118" s="215">
        <v>126075.20600000001</v>
      </c>
      <c r="S118" s="1020">
        <v>985</v>
      </c>
      <c r="T118" s="1336" t="s">
        <v>938</v>
      </c>
      <c r="U118" s="1337"/>
      <c r="V118" s="1338"/>
      <c r="W118" s="215">
        <v>3210.0529999999999</v>
      </c>
      <c r="X118" s="1543"/>
      <c r="Y118" s="1543"/>
      <c r="Z118" s="1234"/>
      <c r="AB118" s="1234"/>
      <c r="AC118" s="1234"/>
      <c r="AD118" s="2197"/>
      <c r="AE118" s="417"/>
      <c r="AF118" s="171"/>
    </row>
    <row r="119" spans="1:34" ht="19.5" customHeight="1">
      <c r="A119" s="2197"/>
      <c r="B119" s="2197"/>
      <c r="C119" s="2197"/>
      <c r="D119" s="2197"/>
      <c r="E119" s="1020">
        <v>926</v>
      </c>
      <c r="F119" s="1034" t="s">
        <v>850</v>
      </c>
      <c r="G119" s="1035"/>
      <c r="H119" s="1035"/>
      <c r="I119" s="402">
        <f>N113</f>
        <v>3147.8030000000003</v>
      </c>
      <c r="J119" s="281"/>
      <c r="K119" s="185"/>
      <c r="L119" s="1020">
        <v>980</v>
      </c>
      <c r="M119" s="2521" t="s">
        <v>1155</v>
      </c>
      <c r="N119" s="2522"/>
      <c r="O119" s="2523"/>
      <c r="P119" s="215">
        <v>5796.0870000000004</v>
      </c>
      <c r="S119" s="1020">
        <v>989</v>
      </c>
      <c r="T119" s="1336" t="s">
        <v>211</v>
      </c>
      <c r="U119" s="1337"/>
      <c r="V119" s="1338"/>
      <c r="W119" s="1986">
        <v>767.22199999999998</v>
      </c>
      <c r="X119" s="179"/>
      <c r="Y119" s="197"/>
      <c r="Z119" s="197"/>
      <c r="AA119" s="1235"/>
      <c r="AB119" s="1235"/>
      <c r="AC119" s="1235"/>
      <c r="AD119" s="2197"/>
      <c r="AE119" s="1235"/>
      <c r="AF119" s="171"/>
    </row>
    <row r="120" spans="1:34" ht="13.5" customHeight="1" thickBot="1">
      <c r="A120" s="2197"/>
      <c r="B120" s="2197"/>
      <c r="C120" s="2197"/>
      <c r="D120" s="2197"/>
      <c r="E120" s="1024">
        <v>928</v>
      </c>
      <c r="F120" s="1380" t="s">
        <v>851</v>
      </c>
      <c r="G120" s="1036"/>
      <c r="H120" s="1037"/>
      <c r="I120" s="403">
        <f>I117-I118-I119</f>
        <v>19233.986999999983</v>
      </c>
      <c r="J120" s="281"/>
      <c r="K120" s="185"/>
      <c r="L120" s="1020">
        <v>982</v>
      </c>
      <c r="M120" s="1336" t="s">
        <v>1052</v>
      </c>
      <c r="N120" s="1337"/>
      <c r="O120" s="1338"/>
      <c r="P120" s="215">
        <v>608.66999999999996</v>
      </c>
      <c r="S120" s="1020"/>
      <c r="T120" s="1513"/>
      <c r="U120" s="1481"/>
      <c r="V120" s="1482"/>
      <c r="W120" s="1952"/>
      <c r="X120" s="1245"/>
      <c r="Y120" s="1483"/>
      <c r="Z120" s="197"/>
      <c r="AA120" s="1235"/>
      <c r="AB120" s="1235"/>
      <c r="AC120" s="1235"/>
      <c r="AD120" s="2197"/>
      <c r="AE120" s="1235"/>
      <c r="AF120" s="171"/>
    </row>
    <row r="121" spans="1:34" ht="13.5" customHeight="1">
      <c r="A121" s="197"/>
      <c r="B121" s="197"/>
      <c r="C121" s="2197"/>
      <c r="D121" s="2197"/>
      <c r="E121" s="185"/>
      <c r="F121" s="2197"/>
      <c r="G121" s="2197"/>
      <c r="H121" s="2197"/>
      <c r="I121" s="1994"/>
      <c r="J121" s="185"/>
      <c r="K121" s="185"/>
      <c r="L121" s="1020">
        <v>985</v>
      </c>
      <c r="M121" s="1421" t="s">
        <v>837</v>
      </c>
      <c r="N121" s="1421"/>
      <c r="O121" s="1422"/>
      <c r="P121" s="176">
        <v>1304.3489999999999</v>
      </c>
      <c r="Q121" s="2513"/>
      <c r="R121" s="2514"/>
      <c r="S121" s="1019">
        <v>887</v>
      </c>
      <c r="T121" s="1021" t="s">
        <v>450</v>
      </c>
      <c r="U121" s="1022"/>
      <c r="V121" s="1023"/>
      <c r="W121" s="404">
        <f>SUM(W113,W116:W119)</f>
        <v>169126.42700000003</v>
      </c>
      <c r="X121" s="1383"/>
      <c r="Y121" s="197"/>
      <c r="Z121" s="197"/>
      <c r="AA121" s="1235"/>
      <c r="AB121" s="1235"/>
      <c r="AC121" s="1235"/>
      <c r="AD121" s="2197"/>
      <c r="AE121" s="1235"/>
      <c r="AF121" s="171"/>
    </row>
    <row r="122" spans="1:34" ht="12.75" customHeight="1" thickBot="1">
      <c r="A122" s="197"/>
      <c r="B122" s="197"/>
      <c r="C122" s="2197"/>
      <c r="D122" s="2197"/>
      <c r="E122" s="185"/>
      <c r="F122" s="2197"/>
      <c r="G122" s="2197"/>
      <c r="H122" s="2197"/>
      <c r="I122" s="2007"/>
      <c r="J122" s="1995"/>
      <c r="K122" s="185"/>
      <c r="L122" s="2335">
        <v>988</v>
      </c>
      <c r="M122" s="2337" t="s">
        <v>1201</v>
      </c>
      <c r="N122" s="2338"/>
      <c r="O122" s="2340"/>
      <c r="P122" s="176">
        <v>1978.6679999999999</v>
      </c>
      <c r="Q122" s="179"/>
      <c r="R122" s="212"/>
      <c r="S122" s="1024">
        <v>990</v>
      </c>
      <c r="T122" s="1025" t="s">
        <v>94</v>
      </c>
      <c r="U122" s="1026"/>
      <c r="V122" s="1027"/>
      <c r="W122" s="120">
        <f>RR!C7</f>
        <v>169126.47</v>
      </c>
      <c r="X122" s="1383"/>
      <c r="Y122" s="197"/>
      <c r="Z122" s="185"/>
      <c r="AA122" s="185"/>
      <c r="AB122" s="5"/>
      <c r="AC122" s="5"/>
      <c r="AD122" s="2197"/>
      <c r="AE122" s="417"/>
      <c r="AF122" s="171"/>
    </row>
    <row r="123" spans="1:34">
      <c r="A123" s="197"/>
      <c r="B123" s="197"/>
      <c r="C123" s="2197"/>
      <c r="D123" s="2197"/>
      <c r="E123" s="212"/>
      <c r="F123" s="2197"/>
      <c r="G123" s="2197"/>
      <c r="H123" s="2197"/>
      <c r="I123" s="1996"/>
      <c r="J123" s="1995"/>
      <c r="K123" s="185"/>
      <c r="L123" s="1020">
        <v>989</v>
      </c>
      <c r="M123" s="1033" t="s">
        <v>210</v>
      </c>
      <c r="N123" s="1671"/>
      <c r="O123" s="1338"/>
      <c r="P123" s="1986">
        <v>369.83600000000001</v>
      </c>
      <c r="Q123" s="179"/>
      <c r="R123" s="197"/>
      <c r="S123" s="213"/>
      <c r="T123" s="213"/>
      <c r="U123" s="213"/>
      <c r="V123" s="213"/>
      <c r="W123" s="230"/>
      <c r="X123" s="197"/>
      <c r="Y123" s="197"/>
      <c r="Z123" s="185"/>
      <c r="AA123" s="185"/>
      <c r="AB123" s="5"/>
      <c r="AC123" s="5"/>
      <c r="AD123" s="2197"/>
      <c r="AE123" s="417"/>
      <c r="AF123" s="171"/>
    </row>
    <row r="124" spans="1:34">
      <c r="A124" s="303"/>
      <c r="B124" s="197"/>
      <c r="C124" s="197"/>
      <c r="D124" s="185"/>
      <c r="E124" s="185"/>
      <c r="F124" s="2197"/>
      <c r="G124" s="2197"/>
      <c r="H124" s="2197"/>
      <c r="I124" s="1996"/>
      <c r="J124" s="1995"/>
      <c r="K124" s="197"/>
      <c r="L124" s="1019">
        <v>886</v>
      </c>
      <c r="M124" s="1021" t="s">
        <v>450</v>
      </c>
      <c r="N124" s="1022"/>
      <c r="O124" s="1023"/>
      <c r="P124" s="404">
        <f>SUM(P110:P112,P116:P123)</f>
        <v>746868.05367476784</v>
      </c>
      <c r="Q124" s="1383"/>
      <c r="R124" s="197"/>
      <c r="S124" s="213"/>
      <c r="T124" s="213"/>
      <c r="U124" s="213"/>
      <c r="V124" s="213"/>
      <c r="W124" s="213"/>
      <c r="X124" s="197"/>
      <c r="Y124" s="197"/>
      <c r="Z124" s="185"/>
      <c r="AA124" s="185"/>
      <c r="AB124" s="5"/>
      <c r="AC124" s="5"/>
      <c r="AD124" s="2197"/>
      <c r="AE124" s="417"/>
      <c r="AF124" s="171"/>
    </row>
    <row r="125" spans="1:34" ht="22.5" customHeight="1" thickBot="1">
      <c r="A125" s="303"/>
      <c r="B125" s="197"/>
      <c r="C125" s="197"/>
      <c r="D125" s="185"/>
      <c r="E125" s="185"/>
      <c r="F125" s="2197"/>
      <c r="G125" s="2197"/>
      <c r="H125" s="2197"/>
      <c r="I125" s="1996"/>
      <c r="J125" s="1995"/>
      <c r="K125" s="197"/>
      <c r="L125" s="1024">
        <v>990</v>
      </c>
      <c r="M125" s="1025" t="s">
        <v>91</v>
      </c>
      <c r="N125" s="1026"/>
      <c r="O125" s="1027"/>
      <c r="P125" s="1951">
        <f>RR!C8</f>
        <v>746882.11399999994</v>
      </c>
      <c r="Q125" s="197"/>
      <c r="R125" s="197"/>
      <c r="S125" s="213"/>
      <c r="T125" s="213"/>
      <c r="U125" s="213"/>
      <c r="V125" s="213"/>
      <c r="W125" s="213"/>
      <c r="X125" s="197"/>
      <c r="Y125" s="197"/>
      <c r="Z125" s="185"/>
      <c r="AA125" s="185"/>
      <c r="AB125" s="5"/>
      <c r="AC125" s="5"/>
      <c r="AD125" s="2197"/>
      <c r="AE125" s="417"/>
      <c r="AF125" s="171"/>
    </row>
    <row r="126" spans="1:34" ht="31.5" customHeight="1">
      <c r="A126" s="213"/>
      <c r="B126" s="213"/>
      <c r="C126" s="213"/>
      <c r="D126" s="212"/>
      <c r="E126" s="212"/>
      <c r="F126" s="1997"/>
      <c r="G126" s="1997"/>
      <c r="H126" s="1997"/>
      <c r="I126" s="1996"/>
      <c r="J126" s="212"/>
      <c r="K126" s="197"/>
      <c r="L126" s="1668"/>
      <c r="M126" s="1669"/>
      <c r="N126" s="1670"/>
      <c r="O126" s="1670"/>
      <c r="P126" s="1686"/>
      <c r="Q126" s="185"/>
      <c r="R126" s="212"/>
      <c r="S126" s="213"/>
      <c r="T126" s="213"/>
      <c r="U126" s="197"/>
      <c r="V126" s="213"/>
      <c r="W126" s="213"/>
      <c r="X126" s="197"/>
      <c r="Y126" s="213"/>
      <c r="Z126" s="212"/>
      <c r="AA126" s="212"/>
      <c r="AB126" s="1"/>
      <c r="AC126" s="1"/>
      <c r="AD126" s="2197"/>
      <c r="AE126" s="418"/>
      <c r="AF126" s="171"/>
    </row>
    <row r="127" spans="1:34" hidden="1">
      <c r="L127" s="212"/>
      <c r="M127" s="212"/>
      <c r="N127" s="212"/>
      <c r="O127" s="212"/>
      <c r="P127" s="230"/>
    </row>
    <row r="303" spans="16:16" hidden="1">
      <c r="P303" s="214" t="str">
        <f>IF(P124&lt;&gt;P125,"Differens mot vht kostnader i RR, måste rättas!","")</f>
        <v>Differens mot vht kostnader i RR, måste rättas!</v>
      </c>
    </row>
  </sheetData>
  <sheetProtection algorithmName="SHA-512" hashValue="32wCYLte0NzXyDWQurZtFfI8aD76hTJ6qu7mcMQ2NlIRi9vqWsVYoi0SQTRJ3Ha7JuWaG0Z8ncC2py2BA0aVtA==" saltValue="2RWPb7qnDJuwFLIpK0scXg==" spinCount="100000" sheet="1" objects="1" scenarios="1"/>
  <customSheetViews>
    <customSheetView guid="{97D6DB71-3F4C-4C5F-8C5B-51E3EBF78932}" showPageBreaks="1" showGridLines="0" hiddenRows="1" hiddenColumns="1">
      <pane xSplit="2" ySplit="12" topLeftCell="H13" activePane="bottomRight" state="frozen"/>
      <selection pane="bottomRight" activeCell="S6" sqref="S6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1"/>
      <headerFooter>
        <oddHeader>&amp;L&amp;8Statistiska Centralbyrån
Offentlig ekonomi&amp;R&amp;P</oddHeader>
      </headerFooter>
    </customSheetView>
    <customSheetView guid="{99FBDEB7-DD08-4F57-81F4-3C180403E153}" showPageBreaks="1" showGridLines="0" hiddenRows="1" hiddenColumns="1">
      <pane xSplit="2" ySplit="12" topLeftCell="H13" activePane="bottomRight" state="frozen"/>
      <selection pane="bottomRight" activeCell="AD14" sqref="AD14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hiddenRows="1" hiddenColumns="1" showRuler="0">
      <pane xSplit="2" ySplit="10" topLeftCell="E111" activePane="bottomRight" state="frozen"/>
      <selection pane="bottomRight" activeCell="P125" sqref="P125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3"/>
      <headerFooter alignWithMargins="0">
        <oddHeader>&amp;L&amp;8Statistiska Centralbyrån
Offentlig ekonomi&amp;R&amp;P</oddHeader>
      </headerFooter>
    </customSheetView>
  </customSheetViews>
  <mergeCells count="26">
    <mergeCell ref="C4:D4"/>
    <mergeCell ref="E4:H4"/>
    <mergeCell ref="L4:O4"/>
    <mergeCell ref="I4:J4"/>
    <mergeCell ref="I114:L114"/>
    <mergeCell ref="F118:H118"/>
    <mergeCell ref="AH5:AH6"/>
    <mergeCell ref="Z44:AC44"/>
    <mergeCell ref="AG5:AG6"/>
    <mergeCell ref="AF5:AF6"/>
    <mergeCell ref="Z18:AC18"/>
    <mergeCell ref="Z11:AC11"/>
    <mergeCell ref="Q121:R121"/>
    <mergeCell ref="R4:T4"/>
    <mergeCell ref="Z4:AB4"/>
    <mergeCell ref="M119:O119"/>
    <mergeCell ref="M118:O118"/>
    <mergeCell ref="T117:V117"/>
    <mergeCell ref="Y5:Y6"/>
    <mergeCell ref="Z31:AC31"/>
    <mergeCell ref="Z72:AC72"/>
    <mergeCell ref="Z91:AC91"/>
    <mergeCell ref="Z45:AA45"/>
    <mergeCell ref="Z52:AC52"/>
    <mergeCell ref="N5:O5"/>
    <mergeCell ref="Z86:AC86"/>
  </mergeCells>
  <phoneticPr fontId="86" type="noConversion"/>
  <conditionalFormatting sqref="D13:D16 D19:D29 D33:D36 D39:D41 D46:D50 D53:D57 D60:D61 D63:D65 D70:D71 D73:D76 D79:D82 D111:D112 D87:D88 D93:D96 D99:D101 D104:D107 D84">
    <cfRule type="expression" dxfId="100" priority="40" stopIfTrue="1">
      <formula>C13&lt;50</formula>
    </cfRule>
    <cfRule type="expression" dxfId="99" priority="41" stopIfTrue="1">
      <formula>(D13/C13)&gt;0.45</formula>
    </cfRule>
    <cfRule type="expression" dxfId="98" priority="42" stopIfTrue="1">
      <formula>(D13/C13)&lt;0.25</formula>
    </cfRule>
  </conditionalFormatting>
  <conditionalFormatting sqref="T51">
    <cfRule type="expression" dxfId="97" priority="48" stopIfTrue="1">
      <formula>T51-SUM(AB53:AB55)&lt;0</formula>
    </cfRule>
  </conditionalFormatting>
  <conditionalFormatting sqref="P117">
    <cfRule type="expression" dxfId="96" priority="49" stopIfTrue="1">
      <formula>ABS(P117-W116)&lt;10000</formula>
    </cfRule>
    <cfRule type="expression" dxfId="95" priority="50" stopIfTrue="1">
      <formula>ABS((P117-W116)/W116)&gt;0.05</formula>
    </cfRule>
  </conditionalFormatting>
  <conditionalFormatting sqref="W116">
    <cfRule type="expression" dxfId="94" priority="51" stopIfTrue="1">
      <formula>ABS(P117-W116)&lt;10000</formula>
    </cfRule>
    <cfRule type="expression" dxfId="93" priority="52" stopIfTrue="1">
      <formula>ABS((P117-W116)/W116)&gt;0.05</formula>
    </cfRule>
  </conditionalFormatting>
  <conditionalFormatting sqref="P111">
    <cfRule type="expression" dxfId="92" priority="53" stopIfTrue="1">
      <formula>ABS(P111-W111)&lt;10000</formula>
    </cfRule>
    <cfRule type="expression" dxfId="91" priority="54" stopIfTrue="1">
      <formula>ABS((P111-W111)/W111)&gt;0.05</formula>
    </cfRule>
  </conditionalFormatting>
  <conditionalFormatting sqref="W111">
    <cfRule type="expression" dxfId="90" priority="75" stopIfTrue="1">
      <formula>ABS(P111-W111)&lt;10000</formula>
    </cfRule>
    <cfRule type="expression" dxfId="89" priority="76" stopIfTrue="1">
      <formula>ABS((P111-W111)/W111)&gt;0.05</formula>
    </cfRule>
  </conditionalFormatting>
  <conditionalFormatting sqref="P13:P14 P23:P24">
    <cfRule type="expression" dxfId="88" priority="58" stopIfTrue="1">
      <formula>$P$124&lt;100000</formula>
    </cfRule>
    <cfRule type="cellIs" dxfId="87" priority="59" stopIfTrue="1" operator="lessThan">
      <formula>1</formula>
    </cfRule>
  </conditionalFormatting>
  <conditionalFormatting sqref="C13:W113 P120:P122">
    <cfRule type="cellIs" dxfId="86" priority="33" stopIfTrue="1" operator="lessThan">
      <formula>-500</formula>
    </cfRule>
  </conditionalFormatting>
  <conditionalFormatting sqref="P118 W117:W118 I118">
    <cfRule type="cellIs" dxfId="85" priority="32" stopIfTrue="1" operator="lessThan">
      <formula>-500</formula>
    </cfRule>
  </conditionalFormatting>
  <conditionalFormatting sqref="H47">
    <cfRule type="cellIs" dxfId="84" priority="24" stopIfTrue="1" operator="greaterThan">
      <formula>$F$47</formula>
    </cfRule>
  </conditionalFormatting>
  <conditionalFormatting sqref="H50">
    <cfRule type="cellIs" dxfId="83" priority="22" stopIfTrue="1" operator="greaterThan">
      <formula>$F$50</formula>
    </cfRule>
  </conditionalFormatting>
  <conditionalFormatting sqref="R53">
    <cfRule type="cellIs" dxfId="82" priority="21" stopIfTrue="1" operator="greaterThan">
      <formula>100</formula>
    </cfRule>
  </conditionalFormatting>
  <conditionalFormatting sqref="R100">
    <cfRule type="expression" dxfId="81" priority="17" stopIfTrue="1">
      <formula>AND(C100&gt;5000,R100&lt;50)</formula>
    </cfRule>
  </conditionalFormatting>
  <conditionalFormatting sqref="R104">
    <cfRule type="expression" dxfId="80" priority="16" stopIfTrue="1">
      <formula>AND(C104&gt;5000,R104&lt;50)</formula>
    </cfRule>
  </conditionalFormatting>
  <conditionalFormatting sqref="R105">
    <cfRule type="expression" dxfId="79" priority="15" stopIfTrue="1">
      <formula>AND(C105&gt;5000,R105&lt;50)</formula>
    </cfRule>
  </conditionalFormatting>
  <conditionalFormatting sqref="R106">
    <cfRule type="expression" dxfId="78" priority="14" stopIfTrue="1">
      <formula>AND(C106&gt;5000,R106&lt;50)</formula>
    </cfRule>
  </conditionalFormatting>
  <conditionalFormatting sqref="R107">
    <cfRule type="expression" dxfId="77" priority="13" stopIfTrue="1">
      <formula>AND(C107&gt;5000,R107&lt;50)</formula>
    </cfRule>
  </conditionalFormatting>
  <conditionalFormatting sqref="R76">
    <cfRule type="expression" dxfId="76" priority="12" stopIfTrue="1">
      <formula>AND(C76&gt;5000,R76&lt;50)</formula>
    </cfRule>
  </conditionalFormatting>
  <conditionalFormatting sqref="R74">
    <cfRule type="expression" dxfId="75" priority="11" stopIfTrue="1">
      <formula>AND(C74&gt;5000,R74&lt;50)</formula>
    </cfRule>
  </conditionalFormatting>
  <conditionalFormatting sqref="R73">
    <cfRule type="expression" dxfId="74" priority="10" stopIfTrue="1">
      <formula>AND(C73&gt;5000,R73&lt;50)</formula>
    </cfRule>
  </conditionalFormatting>
  <conditionalFormatting sqref="R48">
    <cfRule type="expression" dxfId="73" priority="9" stopIfTrue="1">
      <formula>AND(C48&gt;5000,R48&lt;50)</formula>
    </cfRule>
  </conditionalFormatting>
  <conditionalFormatting sqref="J122:J125">
    <cfRule type="expression" dxfId="72" priority="1">
      <formula>(L119+L120-M120)/M120&gt;0.1</formula>
    </cfRule>
  </conditionalFormatting>
  <dataValidations count="1">
    <dataValidation type="decimal" operator="lessThan" allowBlank="1" showInputMessage="1" showErrorMessage="1" error="Beloppet ska vara i 1000 tal kr" sqref="V111 R111:U112 R93:V96 C93:N96 R99:V101 R84:V84 G114 R104:V107 C99:N101 C104:N107 C87:N88 C84:N84 I118 C79:N82 R79:V82 C111:O112 C63:N66 C70:N71 C73:N76 R73:V76 R70:V71 R63:V66 C13:N16 C19:N29 C33:N36 C39:N41 C46:N50 C53:N57 R53:V57 R46:V50 R39:V41 R33:V36 R19:V29 R13:V16 R60:V61 C60:N61 R87:V88 W117:W120 P118:P123" xr:uid="{00000000-0002-0000-0600-000000000000}">
      <formula1>99999999</formula1>
    </dataValidation>
  </dataValidations>
  <pageMargins left="0.43307086614173229" right="0.70866141732283472" top="0.43307086614173229" bottom="0" header="7.874015748031496E-2" footer="3.937007874015748E-2"/>
  <pageSetup paperSize="9" scale="83" orientation="landscape" r:id="rId4"/>
  <headerFooter>
    <oddHeader>&amp;LStatistiska Centralbyrån
Offentlig ekonomi</oddHeader>
  </headerFooter>
  <rowBreaks count="3" manualBreakCount="3">
    <brk id="43" max="16383" man="1"/>
    <brk id="68" max="16383" man="1"/>
    <brk id="90" max="16383" man="1"/>
  </rowBreaks>
  <colBreaks count="1" manualBreakCount="1">
    <brk id="16" max="1048575" man="1"/>
  </colBreaks>
  <ignoredErrors>
    <ignoredError sqref="A13:A1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9">
    <tabColor rgb="FFFFFF00"/>
  </sheetPr>
  <dimension ref="A1:AD55"/>
  <sheetViews>
    <sheetView showGridLines="0" zoomScaleNormal="100" workbookViewId="0">
      <pane xSplit="2" ySplit="8" topLeftCell="C9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9" zeroHeight="1"/>
  <cols>
    <col min="1" max="1" width="5.42578125" style="145" customWidth="1"/>
    <col min="2" max="2" width="30.85546875" style="145" customWidth="1"/>
    <col min="3" max="4" width="8.5703125" style="145" customWidth="1"/>
    <col min="5" max="11" width="9.140625" style="145" customWidth="1"/>
    <col min="12" max="12" width="8" style="145" customWidth="1"/>
    <col min="13" max="13" width="9.140625" style="145" customWidth="1"/>
    <col min="14" max="14" width="8.42578125" style="145" customWidth="1"/>
    <col min="15" max="22" width="9.140625" style="145" customWidth="1"/>
    <col min="23" max="23" width="8.42578125" style="145" customWidth="1"/>
    <col min="24" max="24" width="8.140625" style="145" customWidth="1"/>
    <col min="25" max="25" width="9.140625" style="145" customWidth="1"/>
    <col min="26" max="26" width="10.5703125" style="145" customWidth="1"/>
    <col min="27" max="27" width="9.140625" style="145" customWidth="1"/>
    <col min="28" max="28" width="8" style="145" customWidth="1"/>
    <col min="29" max="29" width="11.42578125" style="145" customWidth="1"/>
    <col min="30" max="30" width="25.5703125" style="145" customWidth="1"/>
    <col min="31" max="16384" width="0" style="145" hidden="1"/>
  </cols>
  <sheetData>
    <row r="1" spans="1:30" s="170" customFormat="1" ht="18.75" customHeight="1">
      <c r="A1" s="169"/>
      <c r="B1" s="78"/>
      <c r="C1" s="77" t="str">
        <f>"Motpartsredovisning "&amp;År&amp;", miljoner kr"</f>
        <v>Motpartsredovisning 2021, miljoner kr</v>
      </c>
      <c r="D1" s="78"/>
      <c r="E1" s="169"/>
      <c r="F1" s="169"/>
      <c r="G1" s="169"/>
      <c r="H1" s="169"/>
      <c r="I1" s="169"/>
      <c r="J1" s="514" t="s">
        <v>457</v>
      </c>
      <c r="K1" s="515" t="str">
        <f>Information!A2</f>
        <v>RIKSTOTAL</v>
      </c>
      <c r="L1" s="169"/>
      <c r="M1" s="169"/>
      <c r="N1" s="77"/>
      <c r="O1" s="169"/>
      <c r="P1" s="169"/>
      <c r="Q1" s="169"/>
      <c r="R1" s="169"/>
      <c r="S1" s="77" t="str">
        <f>"Motpartsredovisning "&amp;År&amp;", miljoner kr"</f>
        <v>Motpartsredovisning 2021, miljoner kr</v>
      </c>
      <c r="T1" s="169"/>
      <c r="U1" s="169"/>
      <c r="V1" s="169"/>
      <c r="W1" s="169"/>
      <c r="X1" s="169"/>
      <c r="Y1" s="169"/>
      <c r="Z1" s="514" t="s">
        <v>457</v>
      </c>
      <c r="AA1" s="515" t="str">
        <f>Information!A2</f>
        <v>RIKSTOTAL</v>
      </c>
      <c r="AB1" s="169"/>
      <c r="AC1" s="169"/>
      <c r="AD1" s="2197"/>
    </row>
    <row r="2" spans="1:30" s="170" customFormat="1" ht="11.25" customHeight="1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7"/>
      <c r="P2" s="2197"/>
      <c r="Q2" s="2197"/>
      <c r="R2" s="2197"/>
      <c r="S2" s="2197"/>
      <c r="T2" s="2197"/>
      <c r="U2" s="2197"/>
      <c r="V2" s="2197"/>
      <c r="W2" s="2197"/>
      <c r="X2" s="2197"/>
      <c r="Y2" s="2197"/>
      <c r="Z2" s="2197"/>
      <c r="AA2" s="2197"/>
      <c r="AB2" s="2197"/>
      <c r="AC2" s="2197"/>
      <c r="AD2" s="2197"/>
    </row>
    <row r="3" spans="1:30" ht="11.25" customHeight="1" thickBo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  <c r="T3" s="2197"/>
      <c r="U3" s="2197"/>
      <c r="V3" s="2197"/>
      <c r="W3" s="2197"/>
      <c r="X3" s="2197"/>
      <c r="Y3" s="2197"/>
      <c r="Z3" s="2197"/>
      <c r="AA3" s="2197"/>
      <c r="AB3" s="2197"/>
      <c r="AC3" s="2197"/>
      <c r="AD3" s="2197"/>
    </row>
    <row r="4" spans="1:30" s="1297" customFormat="1" ht="18" customHeight="1">
      <c r="A4" s="1290" t="s">
        <v>622</v>
      </c>
      <c r="B4" s="1291" t="s">
        <v>15</v>
      </c>
      <c r="C4" s="1279"/>
      <c r="D4" s="1298" t="s">
        <v>811</v>
      </c>
      <c r="E4" s="1291"/>
      <c r="F4" s="1291"/>
      <c r="G4" s="1291"/>
      <c r="H4" s="1291"/>
      <c r="I4" s="1291"/>
      <c r="J4" s="1291"/>
      <c r="K4" s="1291"/>
      <c r="L4" s="1291"/>
      <c r="M4" s="1292"/>
      <c r="N4" s="1298" t="s">
        <v>784</v>
      </c>
      <c r="O4" s="1291"/>
      <c r="P4" s="1291"/>
      <c r="Q4" s="1291"/>
      <c r="R4" s="1291"/>
      <c r="S4" s="1291"/>
      <c r="T4" s="1291"/>
      <c r="U4" s="1291"/>
      <c r="V4" s="1291"/>
      <c r="W4" s="1291"/>
      <c r="X4" s="1293"/>
      <c r="Y4" s="1299" t="s">
        <v>547</v>
      </c>
      <c r="Z4" s="1294"/>
      <c r="AA4" s="1295"/>
      <c r="AB4" s="1295"/>
      <c r="AC4" s="1296"/>
      <c r="AD4" s="2197"/>
    </row>
    <row r="5" spans="1:30" ht="36.75" customHeight="1">
      <c r="A5" s="788" t="s">
        <v>625</v>
      </c>
      <c r="B5" s="1046"/>
      <c r="C5" s="1402" t="s">
        <v>501</v>
      </c>
      <c r="D5" s="1047" t="s">
        <v>468</v>
      </c>
      <c r="E5" s="1041" t="s">
        <v>493</v>
      </c>
      <c r="F5" s="1041" t="s">
        <v>469</v>
      </c>
      <c r="G5" s="1041" t="s">
        <v>126</v>
      </c>
      <c r="H5" s="1041" t="s">
        <v>1096</v>
      </c>
      <c r="I5" s="1041" t="s">
        <v>470</v>
      </c>
      <c r="J5" s="1041" t="s">
        <v>830</v>
      </c>
      <c r="K5" s="1041" t="s">
        <v>1162</v>
      </c>
      <c r="L5" s="1041" t="s">
        <v>152</v>
      </c>
      <c r="M5" s="1043" t="s">
        <v>511</v>
      </c>
      <c r="N5" s="1370" t="s">
        <v>501</v>
      </c>
      <c r="O5" s="1041" t="s">
        <v>468</v>
      </c>
      <c r="P5" s="1280" t="s">
        <v>493</v>
      </c>
      <c r="Q5" s="1280" t="s">
        <v>469</v>
      </c>
      <c r="R5" s="1280" t="s">
        <v>126</v>
      </c>
      <c r="S5" s="1280" t="s">
        <v>1096</v>
      </c>
      <c r="T5" s="1280" t="s">
        <v>1162</v>
      </c>
      <c r="U5" s="1280" t="s">
        <v>831</v>
      </c>
      <c r="V5" s="1280" t="s">
        <v>830</v>
      </c>
      <c r="W5" s="1280" t="s">
        <v>152</v>
      </c>
      <c r="X5" s="1040" t="s">
        <v>511</v>
      </c>
      <c r="Y5" s="2139" t="s">
        <v>1098</v>
      </c>
      <c r="Z5" s="1041" t="s">
        <v>1166</v>
      </c>
      <c r="AA5" s="1042" t="s">
        <v>1062</v>
      </c>
      <c r="AB5" s="1042" t="s">
        <v>471</v>
      </c>
      <c r="AC5" s="1043" t="s">
        <v>472</v>
      </c>
      <c r="AD5" s="2197"/>
    </row>
    <row r="6" spans="1:30" ht="30.75" customHeight="1">
      <c r="A6" s="1048"/>
      <c r="B6" s="2054" t="s">
        <v>1206</v>
      </c>
      <c r="C6" s="1369"/>
      <c r="D6" s="1560" t="s">
        <v>785</v>
      </c>
      <c r="E6" s="1561" t="s">
        <v>786</v>
      </c>
      <c r="F6" s="1561" t="s">
        <v>787</v>
      </c>
      <c r="G6" s="1561" t="s">
        <v>788</v>
      </c>
      <c r="H6" s="1561" t="s">
        <v>789</v>
      </c>
      <c r="I6" s="1561" t="s">
        <v>790</v>
      </c>
      <c r="J6" s="1561" t="s">
        <v>791</v>
      </c>
      <c r="K6" s="1561" t="s">
        <v>792</v>
      </c>
      <c r="L6" s="1561" t="s">
        <v>793</v>
      </c>
      <c r="M6" s="1044"/>
      <c r="N6" s="1371"/>
      <c r="O6" s="1560" t="s">
        <v>785</v>
      </c>
      <c r="P6" s="1561" t="s">
        <v>786</v>
      </c>
      <c r="Q6" s="1561" t="s">
        <v>787</v>
      </c>
      <c r="R6" s="1561" t="s">
        <v>788</v>
      </c>
      <c r="S6" s="1561" t="s">
        <v>789</v>
      </c>
      <c r="T6" s="1561" t="s">
        <v>792</v>
      </c>
      <c r="U6" s="1561" t="s">
        <v>790</v>
      </c>
      <c r="V6" s="1561" t="s">
        <v>791</v>
      </c>
      <c r="W6" s="1561" t="s">
        <v>793</v>
      </c>
      <c r="X6" s="1044"/>
      <c r="Y6" s="2140" t="s">
        <v>1097</v>
      </c>
      <c r="Z6" s="1565" t="s">
        <v>794</v>
      </c>
      <c r="AA6" s="1561" t="s">
        <v>795</v>
      </c>
      <c r="AB6" s="1561" t="s">
        <v>134</v>
      </c>
      <c r="AC6" s="2343" t="s">
        <v>1202</v>
      </c>
      <c r="AD6" s="2197"/>
    </row>
    <row r="7" spans="1:30" ht="4.5" customHeight="1">
      <c r="A7" s="1049"/>
      <c r="B7" s="1562"/>
      <c r="C7" s="1563"/>
      <c r="D7" s="1555"/>
      <c r="E7" s="1556"/>
      <c r="F7" s="1556"/>
      <c r="G7" s="1556"/>
      <c r="H7" s="1556"/>
      <c r="I7" s="1556"/>
      <c r="J7" s="1556"/>
      <c r="K7" s="1556"/>
      <c r="L7" s="1564"/>
      <c r="M7" s="1044"/>
      <c r="N7" s="1554"/>
      <c r="O7" s="1555"/>
      <c r="P7" s="1556"/>
      <c r="Q7" s="1556"/>
      <c r="R7" s="1556"/>
      <c r="S7" s="1556"/>
      <c r="T7" s="1556"/>
      <c r="U7" s="1557"/>
      <c r="V7" s="1556"/>
      <c r="W7" s="559"/>
      <c r="X7" s="1044"/>
      <c r="Y7" s="1566"/>
      <c r="Z7" s="1567"/>
      <c r="AA7" s="1567"/>
      <c r="AB7" s="1568"/>
      <c r="AC7" s="1569"/>
      <c r="AD7" s="2197"/>
    </row>
    <row r="8" spans="1:30" ht="12" hidden="1" customHeight="1">
      <c r="A8" s="1048"/>
      <c r="B8" s="1558"/>
      <c r="C8" s="1559"/>
      <c r="D8" s="1544"/>
      <c r="E8" s="1545"/>
      <c r="F8" s="1545"/>
      <c r="G8" s="1545"/>
      <c r="H8" s="1545"/>
      <c r="I8" s="1545"/>
      <c r="J8" s="1545"/>
      <c r="K8" s="1545"/>
      <c r="L8" s="1546"/>
      <c r="M8" s="1045"/>
      <c r="N8" s="1547"/>
      <c r="O8" s="1544"/>
      <c r="P8" s="1545"/>
      <c r="Q8" s="1545"/>
      <c r="R8" s="1545"/>
      <c r="S8" s="1545"/>
      <c r="T8" s="1545"/>
      <c r="U8" s="1548"/>
      <c r="V8" s="1545"/>
      <c r="W8" s="1549"/>
      <c r="X8" s="1045"/>
      <c r="Y8" s="1550"/>
      <c r="Z8" s="1551"/>
      <c r="AA8" s="1551"/>
      <c r="AB8" s="1552"/>
      <c r="AC8" s="1553"/>
      <c r="AD8" s="2197"/>
    </row>
    <row r="9" spans="1:30" ht="14.25" customHeight="1">
      <c r="A9" s="1489">
        <v>190</v>
      </c>
      <c r="B9" s="1051" t="s">
        <v>17</v>
      </c>
      <c r="C9" s="83">
        <f>Drift!F17</f>
        <v>227.845</v>
      </c>
      <c r="D9" s="66">
        <v>1.1339999999999999</v>
      </c>
      <c r="E9" s="66">
        <v>0.33800000000000002</v>
      </c>
      <c r="F9" s="66">
        <v>18.106000000000002</v>
      </c>
      <c r="G9" s="66">
        <v>190.50700000000001</v>
      </c>
      <c r="H9" s="66">
        <v>4.492</v>
      </c>
      <c r="I9" s="66">
        <v>0.433</v>
      </c>
      <c r="J9" s="1217"/>
      <c r="K9" s="186">
        <v>12.803000000000001</v>
      </c>
      <c r="L9" s="186">
        <v>2.9000000000000001E-2</v>
      </c>
      <c r="M9" s="436">
        <f>C9-SUM(D9:L9)</f>
        <v>3.0000000000143245E-3</v>
      </c>
      <c r="N9" s="437">
        <f>Drift!H17</f>
        <v>640.34100000000001</v>
      </c>
      <c r="O9" s="66">
        <v>519.84699999999998</v>
      </c>
      <c r="P9" s="66">
        <v>4.9969999999999999</v>
      </c>
      <c r="Q9" s="66">
        <v>41.48</v>
      </c>
      <c r="R9" s="66">
        <v>10.728</v>
      </c>
      <c r="S9" s="66">
        <v>9.032</v>
      </c>
      <c r="T9" s="66">
        <v>42.006</v>
      </c>
      <c r="U9" s="66">
        <v>5.609</v>
      </c>
      <c r="V9" s="66">
        <v>5.23</v>
      </c>
      <c r="W9" s="66">
        <v>1.4179999999999999</v>
      </c>
      <c r="X9" s="436">
        <f>N9-SUM(O9:W9)</f>
        <v>-5.9999999999718057E-3</v>
      </c>
      <c r="Y9" s="439">
        <v>170.83</v>
      </c>
      <c r="Z9" s="66">
        <v>0.75900000000000001</v>
      </c>
      <c r="AA9" s="66">
        <v>44.625999999999998</v>
      </c>
      <c r="AB9" s="66">
        <v>0.47799999999999998</v>
      </c>
      <c r="AC9" s="99">
        <v>34.045999999999999</v>
      </c>
      <c r="AD9" s="2197"/>
    </row>
    <row r="10" spans="1:30" ht="12.95" customHeight="1">
      <c r="A10" s="555" t="s">
        <v>227</v>
      </c>
      <c r="B10" s="561" t="s">
        <v>151</v>
      </c>
      <c r="C10" s="83">
        <f>Drift!F30</f>
        <v>9830.5329999999994</v>
      </c>
      <c r="D10" s="54">
        <v>71.451999999999998</v>
      </c>
      <c r="E10" s="54">
        <v>1359.6469999999999</v>
      </c>
      <c r="F10" s="54">
        <v>3798.529</v>
      </c>
      <c r="G10" s="54">
        <v>559.09</v>
      </c>
      <c r="H10" s="54">
        <v>5.601</v>
      </c>
      <c r="I10" s="54">
        <v>61.543999999999997</v>
      </c>
      <c r="J10" s="1211"/>
      <c r="K10" s="55">
        <v>3967.2190000000001</v>
      </c>
      <c r="L10" s="186">
        <v>7.4630000000000001</v>
      </c>
      <c r="M10" s="436">
        <f t="shared" ref="M10:M39" si="0">C10-SUM(D10:L10)</f>
        <v>-1.1999999998806743E-2</v>
      </c>
      <c r="N10" s="437">
        <f>Drift!H30</f>
        <v>3353.4640000000004</v>
      </c>
      <c r="O10" s="54">
        <v>579.67600000000004</v>
      </c>
      <c r="P10" s="54">
        <v>765.75099999999998</v>
      </c>
      <c r="Q10" s="54">
        <v>438.274</v>
      </c>
      <c r="R10" s="54">
        <v>27.315000000000001</v>
      </c>
      <c r="S10" s="54">
        <v>9.8469999999999995</v>
      </c>
      <c r="T10" s="54">
        <v>835.45</v>
      </c>
      <c r="U10" s="54">
        <v>643.88599999999997</v>
      </c>
      <c r="V10" s="54">
        <v>47.112000000000002</v>
      </c>
      <c r="W10" s="54">
        <v>6.16</v>
      </c>
      <c r="X10" s="436">
        <f t="shared" ref="X10:X39" si="1">N10-SUM(O10:W10)</f>
        <v>-6.9999999996070983E-3</v>
      </c>
      <c r="Y10" s="440">
        <v>472.55</v>
      </c>
      <c r="Z10" s="54">
        <v>19.568999999999999</v>
      </c>
      <c r="AA10" s="54">
        <v>1603.319</v>
      </c>
      <c r="AB10" s="54">
        <v>106.83799999999999</v>
      </c>
      <c r="AC10" s="178">
        <v>1844.3889999999999</v>
      </c>
      <c r="AD10" s="2197"/>
    </row>
    <row r="11" spans="1:30" ht="12.95" customHeight="1">
      <c r="A11" s="555">
        <v>339</v>
      </c>
      <c r="B11" s="561" t="s">
        <v>72</v>
      </c>
      <c r="C11" s="83">
        <f>Drift!F37</f>
        <v>283.03899999999999</v>
      </c>
      <c r="D11" s="66">
        <v>60.234000000000002</v>
      </c>
      <c r="E11" s="66">
        <v>34.567999999999998</v>
      </c>
      <c r="F11" s="66">
        <v>122.723</v>
      </c>
      <c r="G11" s="66">
        <v>6.8659999999999997</v>
      </c>
      <c r="H11" s="66">
        <v>0.94499999999999995</v>
      </c>
      <c r="I11" s="66">
        <v>1.2430000000000001</v>
      </c>
      <c r="J11" s="1217"/>
      <c r="K11" s="186">
        <v>55.970999999999997</v>
      </c>
      <c r="L11" s="186">
        <v>0.49199999999999999</v>
      </c>
      <c r="M11" s="436">
        <f t="shared" si="0"/>
        <v>-2.9999999999859028E-3</v>
      </c>
      <c r="N11" s="437">
        <f>Drift!H37</f>
        <v>1930.16</v>
      </c>
      <c r="O11" s="66">
        <v>1138.5999999999999</v>
      </c>
      <c r="P11" s="66">
        <v>273.702</v>
      </c>
      <c r="Q11" s="66">
        <v>404.53899999999999</v>
      </c>
      <c r="R11" s="66">
        <v>1.3340000000000001</v>
      </c>
      <c r="S11" s="66">
        <v>28.95</v>
      </c>
      <c r="T11" s="66">
        <v>5.2850000000000001</v>
      </c>
      <c r="U11" s="66">
        <v>21.927</v>
      </c>
      <c r="V11" s="66">
        <v>53.133000000000003</v>
      </c>
      <c r="W11" s="66">
        <v>2.68</v>
      </c>
      <c r="X11" s="436">
        <f t="shared" si="1"/>
        <v>9.9999999999909051E-3</v>
      </c>
      <c r="Y11" s="439">
        <v>16.309000000000001</v>
      </c>
      <c r="Z11" s="66">
        <v>3.5720000000000001</v>
      </c>
      <c r="AA11" s="66">
        <v>673.55399999999997</v>
      </c>
      <c r="AB11" s="66">
        <v>15.266999999999999</v>
      </c>
      <c r="AC11" s="99">
        <v>364.53500000000003</v>
      </c>
      <c r="AD11" s="2197"/>
    </row>
    <row r="12" spans="1:30" ht="12.95" customHeight="1">
      <c r="A12" s="555">
        <v>359</v>
      </c>
      <c r="B12" s="561" t="s">
        <v>135</v>
      </c>
      <c r="C12" s="83">
        <f>Drift!F42</f>
        <v>787.86699999999996</v>
      </c>
      <c r="D12" s="66">
        <v>216.86799999999999</v>
      </c>
      <c r="E12" s="66">
        <v>148.21600000000001</v>
      </c>
      <c r="F12" s="66">
        <v>386.976</v>
      </c>
      <c r="G12" s="66">
        <v>18.687999999999999</v>
      </c>
      <c r="H12" s="66">
        <v>0.13500000000000001</v>
      </c>
      <c r="I12" s="66">
        <v>1.4450000000000001</v>
      </c>
      <c r="J12" s="1217"/>
      <c r="K12" s="186">
        <v>15.487</v>
      </c>
      <c r="L12" s="186">
        <v>5.5E-2</v>
      </c>
      <c r="M12" s="436">
        <f t="shared" si="0"/>
        <v>-2.9999999999290594E-3</v>
      </c>
      <c r="N12" s="437">
        <f>Drift!H42</f>
        <v>2202.5129999999999</v>
      </c>
      <c r="O12" s="66">
        <v>1994.2170000000001</v>
      </c>
      <c r="P12" s="66">
        <v>80.013999999999996</v>
      </c>
      <c r="Q12" s="66">
        <v>107.102</v>
      </c>
      <c r="R12" s="66">
        <v>4.5129999999999999</v>
      </c>
      <c r="S12" s="66">
        <v>-0.77700000000000002</v>
      </c>
      <c r="T12" s="66">
        <v>1.343</v>
      </c>
      <c r="U12" s="66">
        <v>1.625</v>
      </c>
      <c r="V12" s="66">
        <v>14.404</v>
      </c>
      <c r="W12" s="66">
        <v>7.6999999999999999E-2</v>
      </c>
      <c r="X12" s="436">
        <f t="shared" si="1"/>
        <v>-5.0000000001091394E-3</v>
      </c>
      <c r="Y12" s="439">
        <v>21.326000000000001</v>
      </c>
      <c r="Z12" s="66">
        <v>2.4169999999999998</v>
      </c>
      <c r="AA12" s="66">
        <v>315.75200000000001</v>
      </c>
      <c r="AB12" s="66">
        <v>3.9649999999999999</v>
      </c>
      <c r="AC12" s="99">
        <v>125.349</v>
      </c>
      <c r="AD12" s="2197"/>
    </row>
    <row r="13" spans="1:30" ht="12.95" customHeight="1">
      <c r="A13" s="555">
        <v>407</v>
      </c>
      <c r="B13" s="561" t="s">
        <v>81</v>
      </c>
      <c r="C13" s="83">
        <f>Drift!F47</f>
        <v>16952.349999999999</v>
      </c>
      <c r="D13" s="54">
        <v>4500.384</v>
      </c>
      <c r="E13" s="54">
        <v>10.141</v>
      </c>
      <c r="F13" s="54">
        <v>11981.831</v>
      </c>
      <c r="G13" s="54">
        <v>433.63400000000001</v>
      </c>
      <c r="H13" s="54">
        <v>1.365</v>
      </c>
      <c r="I13" s="54">
        <v>22.652999999999999</v>
      </c>
      <c r="J13" s="1211"/>
      <c r="K13" s="55">
        <v>2.4940000000000002</v>
      </c>
      <c r="L13" s="186">
        <v>-0.152</v>
      </c>
      <c r="M13" s="1247">
        <f>C13-SUM(D13:L13)</f>
        <v>0</v>
      </c>
      <c r="N13" s="437">
        <f>Drift!H47</f>
        <v>12.75</v>
      </c>
      <c r="O13" s="54">
        <v>2.3660000000000001</v>
      </c>
      <c r="P13" s="54">
        <v>6.0000000000000001E-3</v>
      </c>
      <c r="Q13" s="54">
        <v>6.8460000000000001</v>
      </c>
      <c r="R13" s="54">
        <v>-1.6E-2</v>
      </c>
      <c r="S13" s="54">
        <v>5.8999999999999997E-2</v>
      </c>
      <c r="T13" s="54">
        <v>0.16400000000000001</v>
      </c>
      <c r="U13" s="54">
        <v>1.69</v>
      </c>
      <c r="V13" s="54">
        <v>1.6339999999999999</v>
      </c>
      <c r="W13" s="54">
        <v>0</v>
      </c>
      <c r="X13" s="436">
        <f t="shared" si="1"/>
        <v>1.0000000000012221E-3</v>
      </c>
      <c r="Y13" s="440">
        <v>433.15800000000002</v>
      </c>
      <c r="Z13" s="54">
        <v>5.4180000000000001</v>
      </c>
      <c r="AA13" s="54">
        <v>4878.9570000000003</v>
      </c>
      <c r="AB13" s="54">
        <v>8.9450000000000003</v>
      </c>
      <c r="AC13" s="99">
        <v>1036.375</v>
      </c>
      <c r="AD13" s="2197"/>
    </row>
    <row r="14" spans="1:30" ht="12.95" customHeight="1">
      <c r="A14" s="555">
        <v>412</v>
      </c>
      <c r="B14" s="561" t="s">
        <v>82</v>
      </c>
      <c r="C14" s="83">
        <f>Drift!F48</f>
        <v>609.90800000000002</v>
      </c>
      <c r="D14" s="54">
        <v>73.051000000000002</v>
      </c>
      <c r="E14" s="54">
        <v>0</v>
      </c>
      <c r="F14" s="54">
        <v>532.84699999999998</v>
      </c>
      <c r="G14" s="54">
        <v>3.9079999999999999</v>
      </c>
      <c r="H14" s="54">
        <v>7.0000000000000001E-3</v>
      </c>
      <c r="I14" s="54">
        <v>9.5000000000000001E-2</v>
      </c>
      <c r="J14" s="1211"/>
      <c r="K14" s="55">
        <v>0</v>
      </c>
      <c r="L14" s="186">
        <v>0</v>
      </c>
      <c r="M14" s="1247">
        <f t="shared" si="0"/>
        <v>0</v>
      </c>
      <c r="N14" s="437">
        <f>Drift!H48</f>
        <v>0.45600000000000002</v>
      </c>
      <c r="O14" s="54">
        <v>1.6E-2</v>
      </c>
      <c r="P14" s="54">
        <v>0</v>
      </c>
      <c r="Q14" s="54">
        <v>0.42899999999999999</v>
      </c>
      <c r="R14" s="54">
        <v>0</v>
      </c>
      <c r="S14" s="54">
        <v>4.0000000000000001E-3</v>
      </c>
      <c r="T14" s="54">
        <v>0</v>
      </c>
      <c r="U14" s="54">
        <v>6.0000000000000001E-3</v>
      </c>
      <c r="V14" s="54">
        <v>1E-3</v>
      </c>
      <c r="W14" s="54">
        <v>0</v>
      </c>
      <c r="X14" s="436">
        <f t="shared" si="1"/>
        <v>0</v>
      </c>
      <c r="Y14" s="440">
        <v>4.2590000000000003</v>
      </c>
      <c r="Z14" s="54">
        <v>5.0000000000000001E-3</v>
      </c>
      <c r="AA14" s="54">
        <v>23.018000000000001</v>
      </c>
      <c r="AB14" s="54">
        <v>3.3000000000000002E-2</v>
      </c>
      <c r="AC14" s="99">
        <v>29.07</v>
      </c>
      <c r="AD14" s="2197"/>
    </row>
    <row r="15" spans="1:30" ht="12.95" customHeight="1">
      <c r="A15" s="555">
        <v>425</v>
      </c>
      <c r="B15" s="561" t="s">
        <v>84</v>
      </c>
      <c r="C15" s="83">
        <f>Drift!F50</f>
        <v>2533.866</v>
      </c>
      <c r="D15" s="54">
        <v>687.42200000000003</v>
      </c>
      <c r="E15" s="54">
        <v>8.0000000000000002E-3</v>
      </c>
      <c r="F15" s="54">
        <v>1614.184</v>
      </c>
      <c r="G15" s="54">
        <v>180.36</v>
      </c>
      <c r="H15" s="54">
        <v>0.29499999999999998</v>
      </c>
      <c r="I15" s="54">
        <v>47.475000000000001</v>
      </c>
      <c r="J15" s="1211"/>
      <c r="K15" s="55">
        <v>4.1429999999999998</v>
      </c>
      <c r="L15" s="186">
        <v>-0.02</v>
      </c>
      <c r="M15" s="1247">
        <f>C15-SUM(D15:L15)</f>
        <v>-1.0000000002037268E-3</v>
      </c>
      <c r="N15" s="437">
        <f>Drift!H50</f>
        <v>3.3530000000000002</v>
      </c>
      <c r="O15" s="54">
        <v>0.36899999999999999</v>
      </c>
      <c r="P15" s="54">
        <v>1.4019999999999999</v>
      </c>
      <c r="Q15" s="54">
        <v>0.84399999999999997</v>
      </c>
      <c r="R15" s="54">
        <v>1.9E-2</v>
      </c>
      <c r="S15" s="54">
        <v>1.2999999999999999E-2</v>
      </c>
      <c r="T15" s="54">
        <v>0.04</v>
      </c>
      <c r="U15" s="54">
        <v>0.504</v>
      </c>
      <c r="V15" s="54">
        <v>0.16</v>
      </c>
      <c r="W15" s="54">
        <v>1E-3</v>
      </c>
      <c r="X15" s="436">
        <f t="shared" si="1"/>
        <v>1.000000000000334E-3</v>
      </c>
      <c r="Y15" s="440">
        <v>179.65299999999999</v>
      </c>
      <c r="Z15" s="54">
        <v>2.7E-2</v>
      </c>
      <c r="AA15" s="54">
        <v>838.47799999999995</v>
      </c>
      <c r="AB15" s="54">
        <v>0.84099999999999997</v>
      </c>
      <c r="AC15" s="99">
        <v>143.744</v>
      </c>
      <c r="AD15" s="2197"/>
    </row>
    <row r="16" spans="1:30" ht="20.25" customHeight="1">
      <c r="A16" s="555">
        <v>419</v>
      </c>
      <c r="B16" s="561" t="s">
        <v>157</v>
      </c>
      <c r="C16" s="83">
        <f>SUM(Drift!F46,Drift!F49)</f>
        <v>88.896000000000001</v>
      </c>
      <c r="D16" s="54">
        <v>45.088999999999999</v>
      </c>
      <c r="E16" s="54">
        <v>6.0000000000000001E-3</v>
      </c>
      <c r="F16" s="54">
        <v>40.011000000000003</v>
      </c>
      <c r="G16" s="54">
        <v>0.82899999999999996</v>
      </c>
      <c r="H16" s="54">
        <v>1.0149999999999999</v>
      </c>
      <c r="I16" s="54">
        <v>7.1999999999999995E-2</v>
      </c>
      <c r="J16" s="1211"/>
      <c r="K16" s="55">
        <v>1.8740000000000001</v>
      </c>
      <c r="L16" s="186">
        <v>0</v>
      </c>
      <c r="M16" s="1247">
        <f t="shared" si="0"/>
        <v>0</v>
      </c>
      <c r="N16" s="437">
        <f>SUM(Drift!H46,Drift!H49)</f>
        <v>1.972</v>
      </c>
      <c r="O16" s="54">
        <v>1.903</v>
      </c>
      <c r="P16" s="54">
        <v>0</v>
      </c>
      <c r="Q16" s="54">
        <v>1.9E-2</v>
      </c>
      <c r="R16" s="54">
        <v>0</v>
      </c>
      <c r="S16" s="54">
        <v>0</v>
      </c>
      <c r="T16" s="54">
        <v>1E-3</v>
      </c>
      <c r="U16" s="54">
        <v>0</v>
      </c>
      <c r="V16" s="54">
        <v>4.9000000000000002E-2</v>
      </c>
      <c r="W16" s="54">
        <v>0</v>
      </c>
      <c r="X16" s="436">
        <f t="shared" si="1"/>
        <v>0</v>
      </c>
      <c r="Y16" s="440">
        <v>2.073</v>
      </c>
      <c r="Z16" s="54">
        <v>1.8169999999999999</v>
      </c>
      <c r="AA16" s="54">
        <v>18.132000000000001</v>
      </c>
      <c r="AB16" s="54">
        <v>2.8090000000000002</v>
      </c>
      <c r="AC16" s="99">
        <v>7.3570000000000002</v>
      </c>
      <c r="AD16" s="2197"/>
    </row>
    <row r="17" spans="1:30" ht="12.95" customHeight="1">
      <c r="A17" s="555">
        <v>435</v>
      </c>
      <c r="B17" s="561" t="s">
        <v>477</v>
      </c>
      <c r="C17" s="83">
        <f>Drift!F53</f>
        <v>1184.5340000000001</v>
      </c>
      <c r="D17" s="54">
        <v>348.98</v>
      </c>
      <c r="E17" s="54">
        <v>0.02</v>
      </c>
      <c r="F17" s="54">
        <v>756.19100000000003</v>
      </c>
      <c r="G17" s="54">
        <v>55.973999999999997</v>
      </c>
      <c r="H17" s="54">
        <v>0.80600000000000005</v>
      </c>
      <c r="I17" s="54">
        <v>18.611999999999998</v>
      </c>
      <c r="J17" s="1211"/>
      <c r="K17" s="55">
        <v>3.79</v>
      </c>
      <c r="L17" s="186">
        <v>0.161</v>
      </c>
      <c r="M17" s="1247">
        <f t="shared" si="0"/>
        <v>0</v>
      </c>
      <c r="N17" s="437">
        <f>Drift!H53</f>
        <v>1.0609999999999999</v>
      </c>
      <c r="O17" s="54">
        <v>0.11600000000000001</v>
      </c>
      <c r="P17" s="54">
        <v>0.188</v>
      </c>
      <c r="Q17" s="54">
        <v>0.34899999999999998</v>
      </c>
      <c r="R17" s="54">
        <v>6.2E-2</v>
      </c>
      <c r="S17" s="54">
        <v>4.3999999999999997E-2</v>
      </c>
      <c r="T17" s="54">
        <v>2.3E-2</v>
      </c>
      <c r="U17" s="54">
        <v>0.154</v>
      </c>
      <c r="V17" s="54">
        <v>0.124</v>
      </c>
      <c r="W17" s="54">
        <v>0</v>
      </c>
      <c r="X17" s="436">
        <f t="shared" si="1"/>
        <v>9.9999999999988987E-4</v>
      </c>
      <c r="Y17" s="440">
        <v>54.692999999999998</v>
      </c>
      <c r="Z17" s="54">
        <v>0.10100000000000001</v>
      </c>
      <c r="AA17" s="54">
        <v>351.03899999999999</v>
      </c>
      <c r="AB17" s="54">
        <v>0.74299999999999999</v>
      </c>
      <c r="AC17" s="99">
        <v>64.183999999999997</v>
      </c>
      <c r="AD17" s="2197"/>
    </row>
    <row r="18" spans="1:30" ht="12.95" customHeight="1">
      <c r="A18" s="555">
        <v>440</v>
      </c>
      <c r="B18" s="561" t="s">
        <v>374</v>
      </c>
      <c r="C18" s="83">
        <f>Drift!F54</f>
        <v>20797.413</v>
      </c>
      <c r="D18" s="54">
        <v>4537.7079999999996</v>
      </c>
      <c r="E18" s="54">
        <v>12.204000000000001</v>
      </c>
      <c r="F18" s="54">
        <v>14204.333000000001</v>
      </c>
      <c r="G18" s="54">
        <v>1572.7439999999999</v>
      </c>
      <c r="H18" s="54">
        <v>21.326000000000001</v>
      </c>
      <c r="I18" s="54">
        <v>393.78500000000003</v>
      </c>
      <c r="J18" s="1211"/>
      <c r="K18" s="55">
        <v>52.680999999999997</v>
      </c>
      <c r="L18" s="186">
        <v>2.6320000000000001</v>
      </c>
      <c r="M18" s="1247">
        <f t="shared" si="0"/>
        <v>0</v>
      </c>
      <c r="N18" s="437">
        <f>Drift!H54</f>
        <v>51.49</v>
      </c>
      <c r="O18" s="54">
        <v>12.167</v>
      </c>
      <c r="P18" s="54">
        <v>6.1130000000000004</v>
      </c>
      <c r="Q18" s="54">
        <v>9.1660000000000004</v>
      </c>
      <c r="R18" s="54">
        <v>3.0680000000000001</v>
      </c>
      <c r="S18" s="54">
        <v>3.1840000000000002</v>
      </c>
      <c r="T18" s="54">
        <v>1.2609999999999999</v>
      </c>
      <c r="U18" s="54">
        <v>11.122</v>
      </c>
      <c r="V18" s="54">
        <v>5.3780000000000001</v>
      </c>
      <c r="W18" s="54">
        <v>3.1E-2</v>
      </c>
      <c r="X18" s="436">
        <f t="shared" si="1"/>
        <v>0</v>
      </c>
      <c r="Y18" s="440">
        <v>1538.0360000000001</v>
      </c>
      <c r="Z18" s="54">
        <v>3.738</v>
      </c>
      <c r="AA18" s="54">
        <v>11049.602999999999</v>
      </c>
      <c r="AB18" s="54">
        <v>19.189</v>
      </c>
      <c r="AC18" s="99">
        <v>1250.82</v>
      </c>
      <c r="AD18" s="2197"/>
    </row>
    <row r="19" spans="1:30" ht="12.95" customHeight="1">
      <c r="A19" s="555">
        <v>443</v>
      </c>
      <c r="B19" s="561" t="s">
        <v>614</v>
      </c>
      <c r="C19" s="83">
        <f>Drift!F55</f>
        <v>685.78899999999999</v>
      </c>
      <c r="D19" s="54">
        <v>86.914000000000001</v>
      </c>
      <c r="E19" s="54">
        <v>0</v>
      </c>
      <c r="F19" s="54">
        <v>268.31200000000001</v>
      </c>
      <c r="G19" s="54">
        <v>315.00799999999998</v>
      </c>
      <c r="H19" s="54">
        <v>1.63</v>
      </c>
      <c r="I19" s="54">
        <v>13.266</v>
      </c>
      <c r="J19" s="1211"/>
      <c r="K19" s="55">
        <v>0.65900000000000003</v>
      </c>
      <c r="L19" s="186">
        <v>0</v>
      </c>
      <c r="M19" s="1247">
        <f t="shared" si="0"/>
        <v>0</v>
      </c>
      <c r="N19" s="437">
        <f>Drift!H55</f>
        <v>0.25700000000000001</v>
      </c>
      <c r="O19" s="54">
        <v>4.2999999999999997E-2</v>
      </c>
      <c r="P19" s="54">
        <v>0</v>
      </c>
      <c r="Q19" s="54">
        <v>6.9000000000000006E-2</v>
      </c>
      <c r="R19" s="54">
        <v>7.0000000000000001E-3</v>
      </c>
      <c r="S19" s="54">
        <v>1.6E-2</v>
      </c>
      <c r="T19" s="54">
        <v>3.0000000000000001E-3</v>
      </c>
      <c r="U19" s="54">
        <v>3.5000000000000003E-2</v>
      </c>
      <c r="V19" s="54">
        <v>8.4000000000000005E-2</v>
      </c>
      <c r="W19" s="54">
        <v>0</v>
      </c>
      <c r="X19" s="436">
        <f t="shared" si="1"/>
        <v>0</v>
      </c>
      <c r="Y19" s="440">
        <v>318.96499999999997</v>
      </c>
      <c r="Z19" s="54">
        <v>2.5000000000000001E-2</v>
      </c>
      <c r="AA19" s="54">
        <v>151.08099999999999</v>
      </c>
      <c r="AB19" s="54">
        <v>0.104</v>
      </c>
      <c r="AC19" s="99">
        <v>24.744</v>
      </c>
      <c r="AD19" s="2197"/>
    </row>
    <row r="20" spans="1:30" ht="12.95" customHeight="1">
      <c r="A20" s="555">
        <v>450</v>
      </c>
      <c r="B20" s="561" t="s">
        <v>136</v>
      </c>
      <c r="C20" s="83">
        <f>Drift!F56</f>
        <v>23098.019</v>
      </c>
      <c r="D20" s="54">
        <v>1239.1659999999999</v>
      </c>
      <c r="E20" s="54">
        <v>7.6390000000000002</v>
      </c>
      <c r="F20" s="54">
        <v>11018.553</v>
      </c>
      <c r="G20" s="54">
        <v>7652.3310000000001</v>
      </c>
      <c r="H20" s="54">
        <v>486.76100000000002</v>
      </c>
      <c r="I20" s="54">
        <v>130.37</v>
      </c>
      <c r="J20" s="1211"/>
      <c r="K20" s="55">
        <v>2549.0360000000001</v>
      </c>
      <c r="L20" s="186">
        <v>14.163</v>
      </c>
      <c r="M20" s="1247">
        <f t="shared" si="0"/>
        <v>0</v>
      </c>
      <c r="N20" s="437">
        <f>Drift!H56</f>
        <v>264.17</v>
      </c>
      <c r="O20" s="54">
        <v>9.4320000000000004</v>
      </c>
      <c r="P20" s="54">
        <v>1.22</v>
      </c>
      <c r="Q20" s="54">
        <v>56.893000000000001</v>
      </c>
      <c r="R20" s="54">
        <v>6.0060000000000002</v>
      </c>
      <c r="S20" s="54">
        <v>1.2150000000000001</v>
      </c>
      <c r="T20" s="54">
        <v>1.7689999999999999</v>
      </c>
      <c r="U20" s="54">
        <v>7.633</v>
      </c>
      <c r="V20" s="54">
        <v>179.084</v>
      </c>
      <c r="W20" s="54">
        <v>0.91800000000000004</v>
      </c>
      <c r="X20" s="436">
        <f t="shared" si="1"/>
        <v>0</v>
      </c>
      <c r="Y20" s="440">
        <v>7795.0079999999998</v>
      </c>
      <c r="Z20" s="54">
        <v>8.2110000000000003</v>
      </c>
      <c r="AA20" s="54">
        <v>1659.231</v>
      </c>
      <c r="AB20" s="54">
        <v>22.591000000000001</v>
      </c>
      <c r="AC20" s="99">
        <v>831.41600000000005</v>
      </c>
      <c r="AD20" s="2197"/>
    </row>
    <row r="21" spans="1:30" ht="12.95" customHeight="1">
      <c r="A21" s="555">
        <v>453</v>
      </c>
      <c r="B21" s="561" t="s">
        <v>137</v>
      </c>
      <c r="C21" s="83">
        <f>Drift!F57</f>
        <v>1220.826</v>
      </c>
      <c r="D21" s="54">
        <v>54.075000000000003</v>
      </c>
      <c r="E21" s="54">
        <v>0</v>
      </c>
      <c r="F21" s="54">
        <v>224.13499999999999</v>
      </c>
      <c r="G21" s="54">
        <v>690.774</v>
      </c>
      <c r="H21" s="54">
        <v>55.847999999999999</v>
      </c>
      <c r="I21" s="54">
        <v>2.452</v>
      </c>
      <c r="J21" s="1211"/>
      <c r="K21" s="55">
        <v>193.52</v>
      </c>
      <c r="L21" s="186">
        <v>2.1999999999999999E-2</v>
      </c>
      <c r="M21" s="1247">
        <f t="shared" si="0"/>
        <v>0</v>
      </c>
      <c r="N21" s="437">
        <f>Drift!H57</f>
        <v>2.9929999999999999</v>
      </c>
      <c r="O21" s="54">
        <v>0.22500000000000001</v>
      </c>
      <c r="P21" s="54">
        <v>2E-3</v>
      </c>
      <c r="Q21" s="54">
        <v>0.1</v>
      </c>
      <c r="R21" s="54">
        <v>0.17599999999999999</v>
      </c>
      <c r="S21" s="54">
        <v>0.98299999999999998</v>
      </c>
      <c r="T21" s="54">
        <v>0</v>
      </c>
      <c r="U21" s="54">
        <v>5.8000000000000003E-2</v>
      </c>
      <c r="V21" s="54">
        <v>1.4490000000000001</v>
      </c>
      <c r="W21" s="54">
        <v>0</v>
      </c>
      <c r="X21" s="436">
        <f t="shared" si="1"/>
        <v>0</v>
      </c>
      <c r="Y21" s="440">
        <v>683.44600000000003</v>
      </c>
      <c r="Z21" s="54">
        <v>1E-3</v>
      </c>
      <c r="AA21" s="54">
        <v>80.566000000000003</v>
      </c>
      <c r="AB21" s="54">
        <v>4.1000000000000002E-2</v>
      </c>
      <c r="AC21" s="99">
        <v>19.257000000000001</v>
      </c>
      <c r="AD21" s="2197"/>
    </row>
    <row r="22" spans="1:30" ht="12.95" customHeight="1">
      <c r="A22" s="555" t="s">
        <v>484</v>
      </c>
      <c r="B22" s="561" t="s">
        <v>375</v>
      </c>
      <c r="C22" s="83">
        <f>Drift!F60</f>
        <v>493.339</v>
      </c>
      <c r="D22" s="54">
        <v>23.446999999999999</v>
      </c>
      <c r="E22" s="54">
        <v>1.859</v>
      </c>
      <c r="F22" s="54">
        <v>285.19499999999999</v>
      </c>
      <c r="G22" s="54">
        <v>96.429000000000002</v>
      </c>
      <c r="H22" s="54">
        <v>0.18</v>
      </c>
      <c r="I22" s="54">
        <v>3.9E-2</v>
      </c>
      <c r="J22" s="1211"/>
      <c r="K22" s="55">
        <v>86.19</v>
      </c>
      <c r="L22" s="186">
        <v>0</v>
      </c>
      <c r="M22" s="1247">
        <f t="shared" si="0"/>
        <v>0</v>
      </c>
      <c r="N22" s="437">
        <f>Drift!H60</f>
        <v>1.3440000000000001</v>
      </c>
      <c r="O22" s="54">
        <v>0.11600000000000001</v>
      </c>
      <c r="P22" s="54">
        <v>0</v>
      </c>
      <c r="Q22" s="54">
        <v>0.27800000000000002</v>
      </c>
      <c r="R22" s="54">
        <v>0.30599999999999999</v>
      </c>
      <c r="S22" s="54">
        <v>1.0999999999999999E-2</v>
      </c>
      <c r="T22" s="54">
        <v>0.54700000000000004</v>
      </c>
      <c r="U22" s="54">
        <v>0.03</v>
      </c>
      <c r="V22" s="54">
        <v>5.6000000000000001E-2</v>
      </c>
      <c r="W22" s="54">
        <v>0</v>
      </c>
      <c r="X22" s="436">
        <f t="shared" si="1"/>
        <v>0</v>
      </c>
      <c r="Y22" s="440">
        <v>64.576999999999998</v>
      </c>
      <c r="Z22" s="54">
        <v>0.185</v>
      </c>
      <c r="AA22" s="54">
        <v>103.369</v>
      </c>
      <c r="AB22" s="54">
        <v>0.23400000000000001</v>
      </c>
      <c r="AC22" s="99">
        <v>27.178000000000001</v>
      </c>
      <c r="AD22" s="2197"/>
    </row>
    <row r="23" spans="1:30" ht="12.95" customHeight="1">
      <c r="A23" s="555" t="s">
        <v>485</v>
      </c>
      <c r="B23" s="561" t="s">
        <v>376</v>
      </c>
      <c r="C23" s="83">
        <f>Drift!F61</f>
        <v>2565.364</v>
      </c>
      <c r="D23" s="54">
        <v>27.32</v>
      </c>
      <c r="E23" s="54">
        <v>14.99</v>
      </c>
      <c r="F23" s="54">
        <v>1791.578</v>
      </c>
      <c r="G23" s="54">
        <v>470.74200000000002</v>
      </c>
      <c r="H23" s="54">
        <v>27.690999999999999</v>
      </c>
      <c r="I23" s="54">
        <v>2.7320000000000002</v>
      </c>
      <c r="J23" s="1211"/>
      <c r="K23" s="55">
        <v>230.31100000000001</v>
      </c>
      <c r="L23" s="186">
        <v>0</v>
      </c>
      <c r="M23" s="1247">
        <f t="shared" si="0"/>
        <v>0</v>
      </c>
      <c r="N23" s="437">
        <f>Drift!H61</f>
        <v>12.785</v>
      </c>
      <c r="O23" s="54">
        <v>1.002</v>
      </c>
      <c r="P23" s="54">
        <v>8.6999999999999994E-2</v>
      </c>
      <c r="Q23" s="54">
        <v>3.3130000000000002</v>
      </c>
      <c r="R23" s="54">
        <v>6.7690000000000001</v>
      </c>
      <c r="S23" s="54">
        <v>0.28999999999999998</v>
      </c>
      <c r="T23" s="54">
        <v>0.60099999999999998</v>
      </c>
      <c r="U23" s="54">
        <v>0.28499999999999998</v>
      </c>
      <c r="V23" s="54">
        <v>0.438</v>
      </c>
      <c r="W23" s="54">
        <v>0</v>
      </c>
      <c r="X23" s="436">
        <f t="shared" si="1"/>
        <v>0</v>
      </c>
      <c r="Y23" s="440">
        <v>390.22899999999998</v>
      </c>
      <c r="Z23" s="54">
        <v>0.84399999999999997</v>
      </c>
      <c r="AA23" s="54">
        <v>2522.7220000000002</v>
      </c>
      <c r="AB23" s="54">
        <v>41.277999999999999</v>
      </c>
      <c r="AC23" s="99">
        <v>288.93</v>
      </c>
      <c r="AD23" s="2197"/>
    </row>
    <row r="24" spans="1:30" ht="12.95" customHeight="1">
      <c r="A24" s="555">
        <v>474</v>
      </c>
      <c r="B24" s="561" t="s">
        <v>860</v>
      </c>
      <c r="C24" s="83">
        <f>Drift!F63</f>
        <v>25.503</v>
      </c>
      <c r="D24" s="54">
        <v>0.69</v>
      </c>
      <c r="E24" s="54">
        <v>1.2999999999999999E-2</v>
      </c>
      <c r="F24" s="54">
        <v>0.79100000000000004</v>
      </c>
      <c r="G24" s="54">
        <v>9.9580000000000002</v>
      </c>
      <c r="H24" s="54">
        <v>7.0000000000000001E-3</v>
      </c>
      <c r="I24" s="54">
        <v>2E-3</v>
      </c>
      <c r="J24" s="1211"/>
      <c r="K24" s="55">
        <v>14.007</v>
      </c>
      <c r="L24" s="186">
        <v>3.5000000000000003E-2</v>
      </c>
      <c r="M24" s="436">
        <f t="shared" si="0"/>
        <v>0</v>
      </c>
      <c r="N24" s="437">
        <f>Drift!H63</f>
        <v>0.16400000000000001</v>
      </c>
      <c r="O24" s="54">
        <v>3.1E-2</v>
      </c>
      <c r="P24" s="54">
        <v>3.5000000000000003E-2</v>
      </c>
      <c r="Q24" s="54">
        <v>0.03</v>
      </c>
      <c r="R24" s="54">
        <v>1.4E-2</v>
      </c>
      <c r="S24" s="54">
        <v>8.9999999999999993E-3</v>
      </c>
      <c r="T24" s="54">
        <v>1.7999999999999999E-2</v>
      </c>
      <c r="U24" s="54">
        <v>2.5000000000000001E-2</v>
      </c>
      <c r="V24" s="54">
        <v>1E-3</v>
      </c>
      <c r="W24" s="54">
        <v>0</v>
      </c>
      <c r="X24" s="436">
        <f t="shared" si="1"/>
        <v>1.0000000000000286E-3</v>
      </c>
      <c r="Y24" s="439">
        <v>11.842000000000001</v>
      </c>
      <c r="Z24" s="54">
        <v>7.0000000000000001E-3</v>
      </c>
      <c r="AA24" s="54">
        <v>10.362</v>
      </c>
      <c r="AB24" s="54">
        <v>2.1999999999999999E-2</v>
      </c>
      <c r="AC24" s="99">
        <v>0.79100000000000004</v>
      </c>
      <c r="AD24" s="2197"/>
    </row>
    <row r="25" spans="1:30" ht="12.95" customHeight="1">
      <c r="A25" s="555">
        <v>479</v>
      </c>
      <c r="B25" s="561" t="s">
        <v>437</v>
      </c>
      <c r="C25" s="83">
        <f>SUM(Drift!F64,Drift!F65,Drift!F66)</f>
        <v>1078.451</v>
      </c>
      <c r="D25" s="54">
        <v>153.77199999999999</v>
      </c>
      <c r="E25" s="54">
        <v>10.007999999999999</v>
      </c>
      <c r="F25" s="54">
        <v>694.32399999999996</v>
      </c>
      <c r="G25" s="54">
        <v>89.376000000000005</v>
      </c>
      <c r="H25" s="54">
        <v>7.6879999999999997</v>
      </c>
      <c r="I25" s="54">
        <v>-1.2E-2</v>
      </c>
      <c r="J25" s="1211"/>
      <c r="K25" s="55">
        <v>123.29</v>
      </c>
      <c r="L25" s="186">
        <v>5.0000000000000001E-3</v>
      </c>
      <c r="M25" s="436">
        <f t="shared" si="0"/>
        <v>0</v>
      </c>
      <c r="N25" s="437">
        <f>SUM(Drift!H64:H66)</f>
        <v>50.436</v>
      </c>
      <c r="O25" s="54">
        <v>12.824</v>
      </c>
      <c r="P25" s="54">
        <v>2.3559999999999999</v>
      </c>
      <c r="Q25" s="54">
        <v>11.242000000000001</v>
      </c>
      <c r="R25" s="54">
        <v>1.091</v>
      </c>
      <c r="S25" s="54">
        <v>1.0999999999999999E-2</v>
      </c>
      <c r="T25" s="54">
        <v>0.114</v>
      </c>
      <c r="U25" s="54">
        <v>21.667000000000002</v>
      </c>
      <c r="V25" s="54">
        <v>0.78700000000000003</v>
      </c>
      <c r="W25" s="54">
        <v>0.34399999999999997</v>
      </c>
      <c r="X25" s="436">
        <f t="shared" si="1"/>
        <v>0</v>
      </c>
      <c r="Y25" s="440">
        <v>113.375</v>
      </c>
      <c r="Z25" s="54">
        <v>0.52200000000000002</v>
      </c>
      <c r="AA25" s="54">
        <v>1259.076</v>
      </c>
      <c r="AB25" s="54">
        <v>21.059000000000001</v>
      </c>
      <c r="AC25" s="99">
        <v>79.619</v>
      </c>
      <c r="AD25" s="2197"/>
    </row>
    <row r="26" spans="1:30" ht="12.95" customHeight="1">
      <c r="A26" s="555">
        <v>509</v>
      </c>
      <c r="B26" s="561" t="s">
        <v>436</v>
      </c>
      <c r="C26" s="83">
        <f>SUM(Drift!F70,Drift!F71)</f>
        <v>358.01600000000002</v>
      </c>
      <c r="D26" s="66">
        <v>0</v>
      </c>
      <c r="E26" s="66">
        <v>0</v>
      </c>
      <c r="F26" s="66">
        <v>143.971</v>
      </c>
      <c r="G26" s="66">
        <v>0.13</v>
      </c>
      <c r="H26" s="66">
        <v>212.09200000000001</v>
      </c>
      <c r="I26" s="66">
        <v>0</v>
      </c>
      <c r="J26" s="1217"/>
      <c r="K26" s="186">
        <v>0.85699999999999998</v>
      </c>
      <c r="L26" s="186">
        <v>0.96599999999999997</v>
      </c>
      <c r="M26" s="436">
        <f t="shared" si="0"/>
        <v>0</v>
      </c>
      <c r="N26" s="437">
        <f>SUM(Drift!H70,Drift!H71)</f>
        <v>0.82600000000000007</v>
      </c>
      <c r="O26" s="66">
        <v>6.6000000000000003E-2</v>
      </c>
      <c r="P26" s="66">
        <v>0</v>
      </c>
      <c r="Q26" s="66">
        <v>1.0999999999999999E-2</v>
      </c>
      <c r="R26" s="66">
        <v>0</v>
      </c>
      <c r="S26" s="66">
        <v>0</v>
      </c>
      <c r="T26" s="66">
        <v>0</v>
      </c>
      <c r="U26" s="66">
        <v>0</v>
      </c>
      <c r="V26" s="66">
        <v>0.749</v>
      </c>
      <c r="W26" s="66">
        <v>0</v>
      </c>
      <c r="X26" s="436">
        <f t="shared" si="1"/>
        <v>0</v>
      </c>
      <c r="Y26" s="440">
        <v>15.839</v>
      </c>
      <c r="Z26" s="66">
        <v>78.888000000000005</v>
      </c>
      <c r="AA26" s="66">
        <v>460.20699999999999</v>
      </c>
      <c r="AB26" s="66">
        <v>1.2E-2</v>
      </c>
      <c r="AC26" s="99">
        <v>15.18</v>
      </c>
      <c r="AD26" s="2197"/>
    </row>
    <row r="27" spans="1:30" ht="12.95" customHeight="1">
      <c r="A27" s="555">
        <v>510</v>
      </c>
      <c r="B27" s="561" t="s">
        <v>487</v>
      </c>
      <c r="C27" s="83">
        <f>Drift!F73</f>
        <v>21829.584999999999</v>
      </c>
      <c r="D27" s="54">
        <v>1998.192</v>
      </c>
      <c r="E27" s="54">
        <v>423.19900000000001</v>
      </c>
      <c r="F27" s="54">
        <v>18197.273000000001</v>
      </c>
      <c r="G27" s="54">
        <v>236.429</v>
      </c>
      <c r="H27" s="54">
        <v>148.58699999999999</v>
      </c>
      <c r="I27" s="54">
        <v>12.478999999999999</v>
      </c>
      <c r="J27" s="1211"/>
      <c r="K27" s="55">
        <v>811.87199999999996</v>
      </c>
      <c r="L27" s="186">
        <v>1.5529999999999999</v>
      </c>
      <c r="M27" s="436">
        <f t="shared" si="0"/>
        <v>1.0000000002037268E-3</v>
      </c>
      <c r="N27" s="437">
        <f>Drift!H73</f>
        <v>1013.365</v>
      </c>
      <c r="O27" s="54">
        <v>92.662999999999997</v>
      </c>
      <c r="P27" s="54">
        <v>31.254999999999999</v>
      </c>
      <c r="Q27" s="54">
        <v>343.76900000000001</v>
      </c>
      <c r="R27" s="54">
        <v>8.9740000000000002</v>
      </c>
      <c r="S27" s="54">
        <v>8.673</v>
      </c>
      <c r="T27" s="54">
        <v>8.7870000000000008</v>
      </c>
      <c r="U27" s="54">
        <v>11.08</v>
      </c>
      <c r="V27" s="54">
        <v>507.72399999999999</v>
      </c>
      <c r="W27" s="54">
        <v>0.441</v>
      </c>
      <c r="X27" s="436">
        <f t="shared" si="1"/>
        <v>-9.9999999997635314E-4</v>
      </c>
      <c r="Y27" s="440">
        <v>201.99100000000001</v>
      </c>
      <c r="Z27" s="54">
        <v>166.91300000000001</v>
      </c>
      <c r="AA27" s="54">
        <v>4998.1610000000001</v>
      </c>
      <c r="AB27" s="54">
        <v>19.481999999999999</v>
      </c>
      <c r="AC27" s="99">
        <v>2278.6260000000002</v>
      </c>
      <c r="AD27" s="2197"/>
    </row>
    <row r="28" spans="1:30" ht="18" customHeight="1">
      <c r="A28" s="555">
        <v>520</v>
      </c>
      <c r="B28" s="600" t="s">
        <v>370</v>
      </c>
      <c r="C28" s="83">
        <f>Drift!F74</f>
        <v>3571.1239999999998</v>
      </c>
      <c r="D28" s="54">
        <v>263.04199999999997</v>
      </c>
      <c r="E28" s="54">
        <v>2.5139999999999998</v>
      </c>
      <c r="F28" s="54">
        <v>3115.6280000000002</v>
      </c>
      <c r="G28" s="54">
        <v>58.067</v>
      </c>
      <c r="H28" s="54">
        <v>23.91</v>
      </c>
      <c r="I28" s="54">
        <v>7.0880000000000001</v>
      </c>
      <c r="J28" s="1211"/>
      <c r="K28" s="54">
        <v>100.551</v>
      </c>
      <c r="L28" s="54">
        <v>0.32400000000000001</v>
      </c>
      <c r="M28" s="436">
        <f>C28-SUM(D28:L28)</f>
        <v>0</v>
      </c>
      <c r="N28" s="437">
        <f>Drift!H74</f>
        <v>379.49200000000002</v>
      </c>
      <c r="O28" s="54">
        <v>98.036000000000001</v>
      </c>
      <c r="P28" s="54">
        <v>1.7589999999999999</v>
      </c>
      <c r="Q28" s="54">
        <v>129.727</v>
      </c>
      <c r="R28" s="54">
        <v>0.50700000000000001</v>
      </c>
      <c r="S28" s="54">
        <v>0.34100000000000003</v>
      </c>
      <c r="T28" s="54">
        <v>0.81100000000000005</v>
      </c>
      <c r="U28" s="175">
        <v>0.81299999999999994</v>
      </c>
      <c r="V28" s="54">
        <v>147.458</v>
      </c>
      <c r="W28" s="54">
        <v>4.1000000000000002E-2</v>
      </c>
      <c r="X28" s="436">
        <f>N28-SUM(O28:W28)</f>
        <v>-9.9999999997635314E-4</v>
      </c>
      <c r="Y28" s="439">
        <v>32.823</v>
      </c>
      <c r="Z28" s="54">
        <v>13.048999999999999</v>
      </c>
      <c r="AA28" s="54">
        <v>448.74</v>
      </c>
      <c r="AB28" s="54">
        <v>2.0009999999999999</v>
      </c>
      <c r="AC28" s="524">
        <v>334.85300000000001</v>
      </c>
      <c r="AD28" s="2197"/>
    </row>
    <row r="29" spans="1:30" ht="13.5" customHeight="1">
      <c r="A29" s="555">
        <v>513</v>
      </c>
      <c r="B29" s="1401" t="s">
        <v>371</v>
      </c>
      <c r="C29" s="83">
        <f>Drift!F75</f>
        <v>14284.111999999999</v>
      </c>
      <c r="D29" s="54">
        <v>1558.373</v>
      </c>
      <c r="E29" s="54">
        <v>227.339</v>
      </c>
      <c r="F29" s="54">
        <v>11663.343999999999</v>
      </c>
      <c r="G29" s="54">
        <v>287.46800000000002</v>
      </c>
      <c r="H29" s="54">
        <v>90.02</v>
      </c>
      <c r="I29" s="54">
        <v>34.103999999999999</v>
      </c>
      <c r="J29" s="1211"/>
      <c r="K29" s="55">
        <v>423.012</v>
      </c>
      <c r="L29" s="186">
        <v>0.45300000000000001</v>
      </c>
      <c r="M29" s="436">
        <f t="shared" si="0"/>
        <v>-1.0000000002037268E-3</v>
      </c>
      <c r="N29" s="437">
        <f>Drift!H75</f>
        <v>5074.7719999999999</v>
      </c>
      <c r="O29" s="54">
        <v>12.159000000000001</v>
      </c>
      <c r="P29" s="54">
        <v>2.3370000000000002</v>
      </c>
      <c r="Q29" s="54">
        <v>85.254999999999995</v>
      </c>
      <c r="R29" s="54">
        <v>5.2009999999999996</v>
      </c>
      <c r="S29" s="54">
        <v>1.254</v>
      </c>
      <c r="T29" s="54">
        <v>1.1359999999999999</v>
      </c>
      <c r="U29" s="175">
        <v>4487.8580000000002</v>
      </c>
      <c r="V29" s="54">
        <v>478.61500000000001</v>
      </c>
      <c r="W29" s="54">
        <v>0.95699999999999996</v>
      </c>
      <c r="X29" s="436">
        <f>N29-SUM(O29:W29)</f>
        <v>0</v>
      </c>
      <c r="Y29" s="439">
        <v>238.2</v>
      </c>
      <c r="Z29" s="54">
        <v>43.015999999999998</v>
      </c>
      <c r="AA29" s="54">
        <v>1375.115</v>
      </c>
      <c r="AB29" s="54">
        <v>6.7119999999999997</v>
      </c>
      <c r="AC29" s="524">
        <v>6160.607</v>
      </c>
      <c r="AD29" s="2197"/>
    </row>
    <row r="30" spans="1:30" ht="12.95" customHeight="1">
      <c r="A30" s="555">
        <v>530</v>
      </c>
      <c r="B30" s="1052" t="s">
        <v>102</v>
      </c>
      <c r="C30" s="83">
        <f>Drift!F76</f>
        <v>1435.2049999999999</v>
      </c>
      <c r="D30" s="54">
        <v>0.443</v>
      </c>
      <c r="E30" s="54">
        <v>8.7799999999999994</v>
      </c>
      <c r="F30" s="54">
        <v>875.34799999999996</v>
      </c>
      <c r="G30" s="54">
        <v>4.6909999999999998</v>
      </c>
      <c r="H30" s="54">
        <v>526.96299999999997</v>
      </c>
      <c r="I30" s="54">
        <v>-0.28299999999999997</v>
      </c>
      <c r="J30" s="1211"/>
      <c r="K30" s="55">
        <v>19.259</v>
      </c>
      <c r="L30" s="186">
        <v>3.0000000000000001E-3</v>
      </c>
      <c r="M30" s="436">
        <f t="shared" si="0"/>
        <v>9.9999999997635314E-4</v>
      </c>
      <c r="N30" s="437">
        <f>Drift!H76</f>
        <v>46.854999999999997</v>
      </c>
      <c r="O30" s="54">
        <v>0.82199999999999995</v>
      </c>
      <c r="P30" s="54">
        <v>0</v>
      </c>
      <c r="Q30" s="54">
        <v>1.694</v>
      </c>
      <c r="R30" s="54">
        <v>0</v>
      </c>
      <c r="S30" s="54">
        <v>43.012999999999998</v>
      </c>
      <c r="T30" s="54">
        <v>0.20699999999999999</v>
      </c>
      <c r="U30" s="54">
        <v>1.1850000000000001</v>
      </c>
      <c r="V30" s="54">
        <v>-6.7000000000000004E-2</v>
      </c>
      <c r="W30" s="54">
        <v>0</v>
      </c>
      <c r="X30" s="436">
        <f t="shared" si="1"/>
        <v>9.9999999999766942E-4</v>
      </c>
      <c r="Y30" s="439">
        <v>5.9640000000000004</v>
      </c>
      <c r="Z30" s="54">
        <v>4.9000000000000002E-2</v>
      </c>
      <c r="AA30" s="54">
        <v>8.5990000000000002</v>
      </c>
      <c r="AB30" s="54">
        <v>5.0000000000000001E-3</v>
      </c>
      <c r="AC30" s="99">
        <v>17.126999999999999</v>
      </c>
      <c r="AD30" s="2197"/>
    </row>
    <row r="31" spans="1:30" ht="12.95" customHeight="1">
      <c r="A31" s="555">
        <v>559</v>
      </c>
      <c r="B31" s="1052" t="s">
        <v>201</v>
      </c>
      <c r="C31" s="83">
        <f>Drift!F79</f>
        <v>3137.759</v>
      </c>
      <c r="D31" s="54">
        <v>330.959</v>
      </c>
      <c r="E31" s="54">
        <v>5.0750000000000002</v>
      </c>
      <c r="F31" s="54">
        <v>2174.9070000000002</v>
      </c>
      <c r="G31" s="54">
        <v>46.097999999999999</v>
      </c>
      <c r="H31" s="54">
        <v>20.498000000000001</v>
      </c>
      <c r="I31" s="54">
        <v>531.12699999999995</v>
      </c>
      <c r="J31" s="1211"/>
      <c r="K31" s="54">
        <v>28.981999999999999</v>
      </c>
      <c r="L31" s="54">
        <v>0.113</v>
      </c>
      <c r="M31" s="1247">
        <f t="shared" si="0"/>
        <v>0</v>
      </c>
      <c r="N31" s="437">
        <f>Drift!H79</f>
        <v>158.87</v>
      </c>
      <c r="O31" s="54">
        <v>132.82400000000001</v>
      </c>
      <c r="P31" s="54">
        <v>0.88100000000000001</v>
      </c>
      <c r="Q31" s="54">
        <v>11.692</v>
      </c>
      <c r="R31" s="54">
        <v>0.23300000000000001</v>
      </c>
      <c r="S31" s="54">
        <v>1.831</v>
      </c>
      <c r="T31" s="54">
        <v>0.88100000000000001</v>
      </c>
      <c r="U31" s="54">
        <v>0.3</v>
      </c>
      <c r="V31" s="54">
        <v>10.227</v>
      </c>
      <c r="W31" s="54">
        <v>0</v>
      </c>
      <c r="X31" s="1247">
        <f t="shared" si="1"/>
        <v>9.9999999997635314E-4</v>
      </c>
      <c r="Y31" s="439">
        <v>48.058</v>
      </c>
      <c r="Z31" s="66">
        <v>2.2810000000000001</v>
      </c>
      <c r="AA31" s="66">
        <v>171.69200000000001</v>
      </c>
      <c r="AB31" s="66">
        <v>2.7919999999999998</v>
      </c>
      <c r="AC31" s="178">
        <v>175.143</v>
      </c>
      <c r="AD31" s="2197"/>
    </row>
    <row r="32" spans="1:30" ht="12.95" customHeight="1">
      <c r="A32" s="555">
        <v>552</v>
      </c>
      <c r="B32" s="561" t="s">
        <v>138</v>
      </c>
      <c r="C32" s="2344">
        <f>SUM(D32+E32+F32+G32+H32+I32+K32+L32)</f>
        <v>2121.085</v>
      </c>
      <c r="D32" s="54">
        <v>134.71799999999999</v>
      </c>
      <c r="E32" s="54">
        <v>4.3810000000000002</v>
      </c>
      <c r="F32" s="54">
        <v>1412.52</v>
      </c>
      <c r="G32" s="54">
        <v>21.044</v>
      </c>
      <c r="H32" s="54">
        <v>14.243</v>
      </c>
      <c r="I32" s="54">
        <v>525.21600000000001</v>
      </c>
      <c r="J32" s="1211"/>
      <c r="K32" s="54">
        <v>8.9250000000000007</v>
      </c>
      <c r="L32" s="54">
        <v>3.7999999999999999E-2</v>
      </c>
      <c r="M32" s="1247">
        <f>IF(OR(C32="",C32=0),"",C32-SUM(D32:L32))</f>
        <v>0</v>
      </c>
      <c r="N32" s="2344">
        <f>SUM(O32+P32+Q32+R32+S32+T32+U32+V32+W32)</f>
        <v>80.441000000000003</v>
      </c>
      <c r="O32" s="54">
        <v>72.033000000000001</v>
      </c>
      <c r="P32" s="54">
        <v>5.0000000000000001E-3</v>
      </c>
      <c r="Q32" s="54">
        <v>3.3330000000000002</v>
      </c>
      <c r="R32" s="54">
        <v>5.2999999999999999E-2</v>
      </c>
      <c r="S32" s="54">
        <v>4.0000000000000001E-3</v>
      </c>
      <c r="T32" s="54">
        <v>0.30499999999999999</v>
      </c>
      <c r="U32" s="54">
        <v>0.14499999999999999</v>
      </c>
      <c r="V32" s="54">
        <v>4.5629999999999997</v>
      </c>
      <c r="W32" s="54">
        <v>0</v>
      </c>
      <c r="X32" s="1247">
        <f>IF(OR(N32="",N32=0),"",N32-SUM(O32:W32))</f>
        <v>0</v>
      </c>
      <c r="Y32" s="440">
        <v>25.143000000000001</v>
      </c>
      <c r="Z32" s="54">
        <v>0.71399999999999997</v>
      </c>
      <c r="AA32" s="54">
        <v>27.37</v>
      </c>
      <c r="AB32" s="54">
        <v>0.11799999999999999</v>
      </c>
      <c r="AC32" s="178">
        <v>66.721999999999994</v>
      </c>
      <c r="AD32" s="2197"/>
    </row>
    <row r="33" spans="1:30" ht="12.95" customHeight="1">
      <c r="A33" s="555">
        <v>569</v>
      </c>
      <c r="B33" s="556" t="s">
        <v>106</v>
      </c>
      <c r="C33" s="83">
        <f>Drift!F80</f>
        <v>8767.4410000000007</v>
      </c>
      <c r="D33" s="54">
        <v>243.703</v>
      </c>
      <c r="E33" s="54">
        <v>5.9560000000000004</v>
      </c>
      <c r="F33" s="54">
        <v>6820.0259999999998</v>
      </c>
      <c r="G33" s="54">
        <v>161.41499999999999</v>
      </c>
      <c r="H33" s="54">
        <v>85.775000000000006</v>
      </c>
      <c r="I33" s="54">
        <v>1413.7650000000001</v>
      </c>
      <c r="J33" s="1211"/>
      <c r="K33" s="54">
        <v>35.790999999999997</v>
      </c>
      <c r="L33" s="54">
        <v>1.01</v>
      </c>
      <c r="M33" s="1247">
        <f t="shared" si="0"/>
        <v>0</v>
      </c>
      <c r="N33" s="437">
        <f>Drift!H80</f>
        <v>137.41300000000001</v>
      </c>
      <c r="O33" s="54">
        <v>52.945999999999998</v>
      </c>
      <c r="P33" s="54">
        <v>2.3E-2</v>
      </c>
      <c r="Q33" s="54">
        <v>16.742000000000001</v>
      </c>
      <c r="R33" s="54">
        <v>1.4490000000000001</v>
      </c>
      <c r="S33" s="54">
        <v>3.7469999999999999</v>
      </c>
      <c r="T33" s="54">
        <v>2.052</v>
      </c>
      <c r="U33" s="54">
        <v>0.83299999999999996</v>
      </c>
      <c r="V33" s="54">
        <v>59.582999999999998</v>
      </c>
      <c r="W33" s="54">
        <v>3.9E-2</v>
      </c>
      <c r="X33" s="1247">
        <f t="shared" si="1"/>
        <v>-9.9999999997635314E-4</v>
      </c>
      <c r="Y33" s="440">
        <v>142.947</v>
      </c>
      <c r="Z33" s="54">
        <v>13.082000000000001</v>
      </c>
      <c r="AA33" s="54">
        <v>779.32899999999995</v>
      </c>
      <c r="AB33" s="54">
        <v>8.8070000000000004</v>
      </c>
      <c r="AC33" s="178">
        <v>564.35699999999997</v>
      </c>
      <c r="AD33" s="2197"/>
    </row>
    <row r="34" spans="1:30" ht="12.95" customHeight="1">
      <c r="A34" s="555">
        <v>554</v>
      </c>
      <c r="B34" s="561" t="s">
        <v>205</v>
      </c>
      <c r="C34" s="2344">
        <f>SUM(D34+E34+F34+G34+H34+I34+K34+L34)</f>
        <v>5425.5229999999992</v>
      </c>
      <c r="D34" s="54">
        <v>119.04300000000001</v>
      </c>
      <c r="E34" s="54">
        <v>2.4590000000000001</v>
      </c>
      <c r="F34" s="54">
        <v>3851.93</v>
      </c>
      <c r="G34" s="54">
        <v>45.12</v>
      </c>
      <c r="H34" s="54">
        <v>16.63</v>
      </c>
      <c r="I34" s="54">
        <v>1361.5540000000001</v>
      </c>
      <c r="J34" s="1211"/>
      <c r="K34" s="54">
        <v>28.11</v>
      </c>
      <c r="L34" s="54">
        <v>0.67700000000000005</v>
      </c>
      <c r="M34" s="1247">
        <f>IF(OR(C34="",C34=0),"",C34-SUM(D34:L34))</f>
        <v>0</v>
      </c>
      <c r="N34" s="2344">
        <f>SUM(O34+P34+Q34+R34+S34+T34+U34+V34+W34)</f>
        <v>24.180999999999997</v>
      </c>
      <c r="O34" s="54">
        <v>4.6639999999999997</v>
      </c>
      <c r="P34" s="54">
        <v>1.7999999999999999E-2</v>
      </c>
      <c r="Q34" s="54">
        <v>5.1589999999999998</v>
      </c>
      <c r="R34" s="54">
        <v>0.36799999999999999</v>
      </c>
      <c r="S34" s="54">
        <v>0.24399999999999999</v>
      </c>
      <c r="T34" s="54">
        <v>0.43</v>
      </c>
      <c r="U34" s="54">
        <v>0.502</v>
      </c>
      <c r="V34" s="54">
        <v>12.79</v>
      </c>
      <c r="W34" s="54">
        <v>6.0000000000000001E-3</v>
      </c>
      <c r="X34" s="1247">
        <f>IF(OR(N34="",N34=0),"",N34-SUM(O34:W34))</f>
        <v>0</v>
      </c>
      <c r="Y34" s="440">
        <v>47.084000000000003</v>
      </c>
      <c r="Z34" s="54">
        <v>4.3150000000000004</v>
      </c>
      <c r="AA34" s="54">
        <v>141.26900000000001</v>
      </c>
      <c r="AB34" s="54">
        <v>1.0369999999999999</v>
      </c>
      <c r="AC34" s="178">
        <v>182.77</v>
      </c>
      <c r="AD34" s="2197"/>
    </row>
    <row r="35" spans="1:30" ht="12.95" customHeight="1">
      <c r="A35" s="555">
        <v>580</v>
      </c>
      <c r="B35" s="561" t="s">
        <v>139</v>
      </c>
      <c r="C35" s="83">
        <f>SUM(Drift!F81,Drift!F82,Drift!F84)</f>
        <v>1116.0040000000001</v>
      </c>
      <c r="D35" s="54">
        <v>133.86600000000001</v>
      </c>
      <c r="E35" s="54">
        <v>3.4660000000000002</v>
      </c>
      <c r="F35" s="54">
        <v>799.59500000000003</v>
      </c>
      <c r="G35" s="54">
        <v>140.75399999999999</v>
      </c>
      <c r="H35" s="54">
        <v>6.52</v>
      </c>
      <c r="I35" s="54">
        <v>5.3929999999999998</v>
      </c>
      <c r="J35" s="1211"/>
      <c r="K35" s="55">
        <v>26.396999999999998</v>
      </c>
      <c r="L35" s="186">
        <v>1.2E-2</v>
      </c>
      <c r="M35" s="1247">
        <f t="shared" si="0"/>
        <v>1.0000000002037268E-3</v>
      </c>
      <c r="N35" s="437">
        <f>SUM(Drift!H81,Drift!H82,Drift!H84)</f>
        <v>11394.732</v>
      </c>
      <c r="O35" s="54">
        <v>256.00599999999997</v>
      </c>
      <c r="P35" s="54">
        <v>1.1459999999999999</v>
      </c>
      <c r="Q35" s="54">
        <v>47.406999999999996</v>
      </c>
      <c r="R35" s="54">
        <v>4.1429999999999998</v>
      </c>
      <c r="S35" s="54">
        <v>3.028</v>
      </c>
      <c r="T35" s="54">
        <v>8.5589999999999993</v>
      </c>
      <c r="U35" s="54">
        <v>2.4590000000000001</v>
      </c>
      <c r="V35" s="54">
        <v>11072.014999999999</v>
      </c>
      <c r="W35" s="54">
        <v>-3.1E-2</v>
      </c>
      <c r="X35" s="1247">
        <f t="shared" si="1"/>
        <v>0</v>
      </c>
      <c r="Y35" s="439">
        <v>138.619</v>
      </c>
      <c r="Z35" s="54">
        <v>1.5089999999999999</v>
      </c>
      <c r="AA35" s="54">
        <v>503.70600000000002</v>
      </c>
      <c r="AB35" s="54">
        <v>4.7759999999999998</v>
      </c>
      <c r="AC35" s="99">
        <v>329.39499999999998</v>
      </c>
      <c r="AD35" s="2197"/>
    </row>
    <row r="36" spans="1:30" ht="12.95" customHeight="1">
      <c r="A36" s="555">
        <v>600</v>
      </c>
      <c r="B36" s="556" t="s">
        <v>113</v>
      </c>
      <c r="C36" s="83">
        <f>Drift!F87</f>
        <v>638.21900000000005</v>
      </c>
      <c r="D36" s="66">
        <v>37.335999999999999</v>
      </c>
      <c r="E36" s="66">
        <v>2.04</v>
      </c>
      <c r="F36" s="66">
        <v>475.161</v>
      </c>
      <c r="G36" s="66">
        <v>35.325000000000003</v>
      </c>
      <c r="H36" s="66">
        <v>6.72</v>
      </c>
      <c r="I36" s="66">
        <v>65.876000000000005</v>
      </c>
      <c r="J36" s="1217"/>
      <c r="K36" s="186">
        <v>15.760999999999999</v>
      </c>
      <c r="L36" s="186">
        <v>0</v>
      </c>
      <c r="M36" s="436">
        <f t="shared" si="0"/>
        <v>0</v>
      </c>
      <c r="N36" s="437">
        <f>Drift!H87</f>
        <v>702.274</v>
      </c>
      <c r="O36" s="66">
        <v>93.686999999999998</v>
      </c>
      <c r="P36" s="66">
        <v>0.96799999999999997</v>
      </c>
      <c r="Q36" s="66">
        <v>4.8449999999999998</v>
      </c>
      <c r="R36" s="66">
        <v>9.1999999999999998E-2</v>
      </c>
      <c r="S36" s="66">
        <v>6.6000000000000003E-2</v>
      </c>
      <c r="T36" s="66">
        <v>0.61699999999999999</v>
      </c>
      <c r="U36" s="66">
        <v>6.1130000000000004</v>
      </c>
      <c r="V36" s="66">
        <v>595.80200000000002</v>
      </c>
      <c r="W36" s="66">
        <v>8.4000000000000005E-2</v>
      </c>
      <c r="X36" s="436">
        <f t="shared" si="1"/>
        <v>0</v>
      </c>
      <c r="Y36" s="440">
        <v>31.73</v>
      </c>
      <c r="Z36" s="66">
        <v>16.550999999999998</v>
      </c>
      <c r="AA36" s="66">
        <v>3595.13</v>
      </c>
      <c r="AB36" s="66">
        <v>20.210999999999999</v>
      </c>
      <c r="AC36" s="99">
        <v>85.36</v>
      </c>
      <c r="AD36" s="2197"/>
    </row>
    <row r="37" spans="1:30" ht="12.95" customHeight="1">
      <c r="A37" s="555">
        <v>610</v>
      </c>
      <c r="B37" s="561" t="s">
        <v>140</v>
      </c>
      <c r="C37" s="83">
        <f>Drift!F88</f>
        <v>164.52500000000001</v>
      </c>
      <c r="D37" s="54">
        <v>36.551000000000002</v>
      </c>
      <c r="E37" s="54">
        <v>17.271999999999998</v>
      </c>
      <c r="F37" s="54">
        <v>73.697000000000003</v>
      </c>
      <c r="G37" s="54">
        <v>16.841999999999999</v>
      </c>
      <c r="H37" s="54">
        <v>3.786</v>
      </c>
      <c r="I37" s="54">
        <v>2.343</v>
      </c>
      <c r="J37" s="1211"/>
      <c r="K37" s="55">
        <v>14.035</v>
      </c>
      <c r="L37" s="186">
        <v>0</v>
      </c>
      <c r="M37" s="436">
        <f t="shared" si="0"/>
        <v>-1.0000000000047748E-3</v>
      </c>
      <c r="N37" s="437">
        <f>Drift!H88</f>
        <v>156.91300000000001</v>
      </c>
      <c r="O37" s="54">
        <v>70.209000000000003</v>
      </c>
      <c r="P37" s="54">
        <v>8.7420000000000009</v>
      </c>
      <c r="Q37" s="54">
        <v>30.545999999999999</v>
      </c>
      <c r="R37" s="54">
        <v>9.0850000000000009</v>
      </c>
      <c r="S37" s="54">
        <v>1.149</v>
      </c>
      <c r="T37" s="54">
        <v>20.994</v>
      </c>
      <c r="U37" s="54">
        <v>4.7699999999999996</v>
      </c>
      <c r="V37" s="54">
        <v>11.417</v>
      </c>
      <c r="W37" s="54">
        <v>0</v>
      </c>
      <c r="X37" s="436">
        <f t="shared" si="1"/>
        <v>9.9999999997635314E-4</v>
      </c>
      <c r="Y37" s="440">
        <v>54.776000000000003</v>
      </c>
      <c r="Z37" s="54">
        <v>1.998</v>
      </c>
      <c r="AA37" s="54">
        <v>4351.1350000000002</v>
      </c>
      <c r="AB37" s="54">
        <v>157.87299999999999</v>
      </c>
      <c r="AC37" s="99">
        <v>279.16399999999999</v>
      </c>
      <c r="AD37" s="2197"/>
    </row>
    <row r="38" spans="1:30" ht="12.95" customHeight="1">
      <c r="A38" s="555">
        <v>890</v>
      </c>
      <c r="B38" s="561" t="s">
        <v>141</v>
      </c>
      <c r="C38" s="83">
        <f>Drift!F109</f>
        <v>5127.451</v>
      </c>
      <c r="D38" s="54">
        <v>4.1639999999999997</v>
      </c>
      <c r="E38" s="54">
        <v>1452.364</v>
      </c>
      <c r="F38" s="54">
        <v>2851.4389999999999</v>
      </c>
      <c r="G38" s="54">
        <v>108.76600000000001</v>
      </c>
      <c r="H38" s="54">
        <v>376.58699999999999</v>
      </c>
      <c r="I38" s="54">
        <v>64.929000000000002</v>
      </c>
      <c r="J38" s="1211"/>
      <c r="K38" s="55">
        <v>260.267</v>
      </c>
      <c r="L38" s="186">
        <v>8.9339999999999993</v>
      </c>
      <c r="M38" s="436">
        <f t="shared" si="0"/>
        <v>1.0000000002037268E-3</v>
      </c>
      <c r="N38" s="437">
        <f>Drift!H109</f>
        <v>1182.5050000000001</v>
      </c>
      <c r="O38" s="54">
        <v>32.834000000000003</v>
      </c>
      <c r="P38" s="54">
        <v>478.15</v>
      </c>
      <c r="Q38" s="54">
        <v>282.49200000000002</v>
      </c>
      <c r="R38" s="54">
        <v>6.41</v>
      </c>
      <c r="S38" s="54">
        <v>185.642</v>
      </c>
      <c r="T38" s="54">
        <v>184.053</v>
      </c>
      <c r="U38" s="54">
        <v>11.205</v>
      </c>
      <c r="V38" s="54">
        <v>1.6910000000000001</v>
      </c>
      <c r="W38" s="54">
        <v>2.7E-2</v>
      </c>
      <c r="X38" s="436">
        <f t="shared" si="1"/>
        <v>9.9999999997635314E-4</v>
      </c>
      <c r="Y38" s="440">
        <v>175.98099999999999</v>
      </c>
      <c r="Z38" s="54">
        <v>23.902999999999999</v>
      </c>
      <c r="AA38" s="54">
        <v>287.06299999999999</v>
      </c>
      <c r="AB38" s="54">
        <v>6.4710000000000001</v>
      </c>
      <c r="AC38" s="99">
        <v>4832.0870000000004</v>
      </c>
      <c r="AD38" s="2197"/>
    </row>
    <row r="39" spans="1:30" ht="12.95" customHeight="1">
      <c r="A39" s="555">
        <v>940</v>
      </c>
      <c r="B39" s="561" t="s">
        <v>142</v>
      </c>
      <c r="C39" s="83">
        <f>SUM(Drift!F111:F112)</f>
        <v>798.85500000000002</v>
      </c>
      <c r="D39" s="54">
        <v>13.057</v>
      </c>
      <c r="E39" s="54">
        <v>221.51</v>
      </c>
      <c r="F39" s="54">
        <v>275.38299999999998</v>
      </c>
      <c r="G39" s="54">
        <v>190.49799999999999</v>
      </c>
      <c r="H39" s="54">
        <v>16.635000000000002</v>
      </c>
      <c r="I39" s="54">
        <v>2.6619999999999999</v>
      </c>
      <c r="J39" s="1211"/>
      <c r="K39" s="55">
        <v>79.085999999999999</v>
      </c>
      <c r="L39" s="186">
        <v>2.3E-2</v>
      </c>
      <c r="M39" s="436">
        <f t="shared" si="0"/>
        <v>1.00000000009004E-3</v>
      </c>
      <c r="N39" s="437">
        <f>SUM(Drift!H111:H112)</f>
        <v>399.12599999999998</v>
      </c>
      <c r="O39" s="54">
        <v>162.24199999999999</v>
      </c>
      <c r="P39" s="54">
        <v>42.991999999999997</v>
      </c>
      <c r="Q39" s="54">
        <v>54.392000000000003</v>
      </c>
      <c r="R39" s="54">
        <v>5.3479999999999999</v>
      </c>
      <c r="S39" s="54">
        <v>7.415</v>
      </c>
      <c r="T39" s="54">
        <v>49.743000000000002</v>
      </c>
      <c r="U39" s="54">
        <v>68.522999999999996</v>
      </c>
      <c r="V39" s="54">
        <v>5.5629999999999997</v>
      </c>
      <c r="W39" s="54">
        <v>2.9079999999999999</v>
      </c>
      <c r="X39" s="436">
        <f t="shared" si="1"/>
        <v>0</v>
      </c>
      <c r="Y39" s="440">
        <v>657.36099999999999</v>
      </c>
      <c r="Z39" s="54">
        <v>46.411999999999999</v>
      </c>
      <c r="AA39" s="54">
        <v>1769.4880000000001</v>
      </c>
      <c r="AB39" s="54">
        <v>96.29</v>
      </c>
      <c r="AC39" s="99">
        <v>778.60900000000004</v>
      </c>
      <c r="AD39" s="2197"/>
    </row>
    <row r="40" spans="1:30" ht="12.95" customHeight="1">
      <c r="A40" s="587" t="s">
        <v>280</v>
      </c>
      <c r="B40" s="1053" t="s">
        <v>35</v>
      </c>
      <c r="C40" s="411">
        <f>SUM(C9:C31,C33,C35:C39)</f>
        <v>143691.83800000002</v>
      </c>
      <c r="D40" s="365">
        <f>SUM(D9:D31,D33,D35:D39)</f>
        <v>16747.392000000003</v>
      </c>
      <c r="E40" s="365">
        <f t="shared" ref="E40:L40" si="2">SUM(E9:E31,E33,E35:E39)</f>
        <v>3969.1719999999996</v>
      </c>
      <c r="F40" s="365">
        <f t="shared" si="2"/>
        <v>95204.390999999989</v>
      </c>
      <c r="G40" s="365">
        <f t="shared" si="2"/>
        <v>13633.701000000001</v>
      </c>
      <c r="H40" s="365">
        <f t="shared" si="2"/>
        <v>2133.8850000000002</v>
      </c>
      <c r="I40" s="365">
        <f t="shared" si="2"/>
        <v>2835.6889999999999</v>
      </c>
      <c r="J40" s="1900">
        <f t="shared" si="2"/>
        <v>0</v>
      </c>
      <c r="K40" s="365">
        <f t="shared" si="2"/>
        <v>9129.3449999999993</v>
      </c>
      <c r="L40" s="365">
        <f t="shared" si="2"/>
        <v>38.276000000000003</v>
      </c>
      <c r="M40" s="368">
        <f>SUM(M9:M31,M33,M35:M39)</f>
        <v>-1.2999999998442036E-2</v>
      </c>
      <c r="N40" s="438">
        <f>SUM(N9:N31,N33,N35:N39)</f>
        <v>29176.852000000003</v>
      </c>
      <c r="O40" s="365">
        <f>SUM(O9:O31,O33,O35:O39)</f>
        <v>5277.4439999999986</v>
      </c>
      <c r="P40" s="365">
        <f t="shared" ref="P40:W40" si="3">SUM(P9:P31,P33,P35:P39)</f>
        <v>1704.126</v>
      </c>
      <c r="Q40" s="365">
        <f t="shared" si="3"/>
        <v>2089.5450000000001</v>
      </c>
      <c r="R40" s="365">
        <f t="shared" si="3"/>
        <v>102.83399999999999</v>
      </c>
      <c r="S40" s="365">
        <f t="shared" si="3"/>
        <v>309.05</v>
      </c>
      <c r="T40" s="365">
        <f t="shared" si="3"/>
        <v>1166.4649999999999</v>
      </c>
      <c r="U40" s="365">
        <f t="shared" si="3"/>
        <v>5311.3950000000013</v>
      </c>
      <c r="V40" s="365">
        <f t="shared" si="3"/>
        <v>13199.901</v>
      </c>
      <c r="W40" s="365">
        <f t="shared" si="3"/>
        <v>16.094999999999999</v>
      </c>
      <c r="X40" s="368">
        <f t="shared" ref="X40:AC40" si="4">SUM(X9:X31,X33,X35:X39)</f>
        <v>-2.9999999996979942E-3</v>
      </c>
      <c r="Y40" s="441">
        <f t="shared" si="4"/>
        <v>14014.618000000002</v>
      </c>
      <c r="Z40" s="366">
        <f t="shared" si="4"/>
        <v>454.86899999999997</v>
      </c>
      <c r="AA40" s="366">
        <f t="shared" si="4"/>
        <v>44331.25</v>
      </c>
      <c r="AB40" s="366">
        <f t="shared" si="4"/>
        <v>569.86899999999991</v>
      </c>
      <c r="AC40" s="367">
        <f t="shared" si="4"/>
        <v>22022.312000000002</v>
      </c>
      <c r="AD40" s="2197"/>
    </row>
    <row r="41" spans="1:30" ht="12" customHeight="1">
      <c r="A41" s="587"/>
      <c r="B41" s="1054" t="s">
        <v>1061</v>
      </c>
      <c r="C41" s="10"/>
      <c r="D41" s="47"/>
      <c r="E41" s="47"/>
      <c r="F41" s="47"/>
      <c r="G41" s="47"/>
      <c r="H41" s="47"/>
      <c r="I41" s="47"/>
      <c r="J41" s="1676"/>
      <c r="K41" s="46"/>
      <c r="L41" s="1678"/>
      <c r="M41" s="2070"/>
      <c r="N41" s="527"/>
      <c r="O41" s="253"/>
      <c r="P41" s="253"/>
      <c r="Q41" s="253"/>
      <c r="R41" s="253"/>
      <c r="S41" s="253"/>
      <c r="T41" s="254"/>
      <c r="V41" s="254"/>
      <c r="W41" s="529"/>
      <c r="X41" s="2071" t="str">
        <f>IF(OR(ABS(X40&gt;100),(X40&lt;-100),COUNTIF(X9:X39,"&gt;100")&gt;0,COUNTIF(X9:X39,"&lt;-100")&gt;0),"Rätta differenserna i kolumn X","")</f>
        <v/>
      </c>
      <c r="Y41" s="121">
        <f>SUM('Verks int o kostn'!I26+'Verks int o kostn'!I28)</f>
        <v>14014.612999999999</v>
      </c>
      <c r="Z41" s="86">
        <f>'Verks int o kostn'!I27</f>
        <v>454.87400000000002</v>
      </c>
      <c r="AA41" s="86">
        <f>SUM('Verks int o kostn'!D17,'Verks int o kostn'!D18)</f>
        <v>44418.472000000002</v>
      </c>
      <c r="AB41" s="86">
        <f>'Verks int o kostn'!D22</f>
        <v>569.87300000000005</v>
      </c>
      <c r="AC41" s="252">
        <f>SUM('Verks int o kostn'!D14,'Verks int o kostn'!D19,'Verks int o kostn'!D20,'Verks int o kostn'!D21,'Verks int o kostn'!D23,'Verks int o kostn'!D24)</f>
        <v>22633.866000000002</v>
      </c>
      <c r="AD41" s="2197"/>
    </row>
    <row r="42" spans="1:30" ht="12.75" customHeight="1" thickBot="1">
      <c r="A42" s="578"/>
      <c r="B42" s="1055" t="s">
        <v>129</v>
      </c>
      <c r="C42" s="250"/>
      <c r="D42" s="127"/>
      <c r="E42" s="127"/>
      <c r="F42" s="127"/>
      <c r="G42" s="127"/>
      <c r="H42" s="127"/>
      <c r="I42" s="127"/>
      <c r="J42" s="525"/>
      <c r="K42" s="127"/>
      <c r="L42" s="526"/>
      <c r="M42" s="1316"/>
      <c r="N42" s="528"/>
      <c r="O42" s="251"/>
      <c r="P42" s="127"/>
      <c r="Q42" s="127"/>
      <c r="R42" s="127"/>
      <c r="S42" s="127"/>
      <c r="T42" s="128"/>
      <c r="U42" s="532"/>
      <c r="V42" s="128"/>
      <c r="W42" s="251"/>
      <c r="X42" s="530"/>
      <c r="Y42" s="412">
        <f>Y40-Y41</f>
        <v>5.0000000028376235E-3</v>
      </c>
      <c r="Z42" s="413">
        <f>Z40-Z41</f>
        <v>-5.0000000000522959E-3</v>
      </c>
      <c r="AA42" s="414">
        <f>AA40-AA41</f>
        <v>-87.222000000001572</v>
      </c>
      <c r="AB42" s="414">
        <f>AB40-AB41</f>
        <v>-4.0000000001327862E-3</v>
      </c>
      <c r="AC42" s="415">
        <f>AC40-AC41</f>
        <v>-611.55400000000009</v>
      </c>
      <c r="AD42" s="2197"/>
    </row>
    <row r="43" spans="1:30" ht="12.75" customHeight="1">
      <c r="A43" s="2197"/>
      <c r="B43" s="2197"/>
      <c r="C43" s="2197"/>
      <c r="D43" s="2197"/>
      <c r="E43" s="2197"/>
      <c r="F43" s="2197"/>
      <c r="G43" s="2197"/>
      <c r="H43" s="2197"/>
      <c r="I43" s="2197"/>
      <c r="J43" s="2197"/>
      <c r="K43" s="2197"/>
      <c r="L43" s="2197"/>
      <c r="M43" s="2197"/>
      <c r="N43" s="2197"/>
      <c r="O43" s="2197"/>
      <c r="P43" s="2197"/>
      <c r="Q43" s="2197"/>
      <c r="R43" s="2197"/>
      <c r="S43" s="2197"/>
      <c r="T43" s="2197"/>
      <c r="U43" s="2197"/>
      <c r="V43" s="2197"/>
      <c r="W43" s="2197"/>
      <c r="X43" s="2197"/>
      <c r="Y43" s="2197"/>
      <c r="Z43" s="2197"/>
      <c r="AA43" s="2197"/>
      <c r="AB43" s="2197"/>
      <c r="AC43" s="2197"/>
      <c r="AD43" s="2197"/>
    </row>
    <row r="44" spans="1:30" ht="12.75" customHeight="1">
      <c r="A44" s="2197"/>
      <c r="B44" s="2197"/>
      <c r="C44" s="2197"/>
      <c r="D44" s="2197"/>
      <c r="E44" s="2197"/>
      <c r="F44" s="2197"/>
      <c r="G44" s="2197"/>
      <c r="H44" s="2197"/>
      <c r="I44" s="2197"/>
      <c r="J44" s="2197"/>
      <c r="K44" s="2197"/>
      <c r="L44" s="2197"/>
      <c r="M44" s="2197"/>
      <c r="N44" s="2197"/>
      <c r="O44" s="2197"/>
      <c r="P44" s="2197"/>
      <c r="Q44" s="2197"/>
      <c r="R44" s="2197"/>
      <c r="S44" s="2197"/>
      <c r="T44" s="2197"/>
      <c r="U44" s="2197"/>
      <c r="V44" s="2197"/>
      <c r="W44" s="2197"/>
      <c r="X44" s="2197"/>
      <c r="Y44" s="2197"/>
      <c r="Z44" s="2197"/>
      <c r="AA44" s="2197"/>
      <c r="AB44" s="2197"/>
      <c r="AC44" s="2197"/>
      <c r="AD44" s="2197"/>
    </row>
    <row r="45" spans="1:30" ht="12.75" customHeight="1">
      <c r="A45" s="2197"/>
      <c r="B45" s="2197"/>
      <c r="C45" s="2197"/>
      <c r="D45" s="2197"/>
      <c r="E45" s="2197"/>
      <c r="F45" s="2197"/>
      <c r="G45" s="2197"/>
      <c r="H45" s="2197"/>
      <c r="I45" s="2197"/>
      <c r="J45" s="2197"/>
      <c r="K45" s="2197"/>
      <c r="L45" s="2197"/>
      <c r="M45" s="2197"/>
      <c r="N45" s="2197"/>
      <c r="O45" s="2197"/>
      <c r="P45" s="2197"/>
      <c r="Q45" s="2197"/>
      <c r="R45" s="2197"/>
      <c r="S45" s="2197"/>
      <c r="T45" s="2197"/>
      <c r="U45" s="2197"/>
      <c r="V45" s="2197"/>
      <c r="W45" s="2197"/>
      <c r="X45" s="2197"/>
      <c r="Y45" s="2197"/>
      <c r="Z45" s="2197"/>
      <c r="AA45" s="2197"/>
      <c r="AB45" s="2197"/>
      <c r="AC45" s="2197"/>
      <c r="AD45" s="2197"/>
    </row>
    <row r="46" spans="1:30" ht="9.75" customHeight="1">
      <c r="A46" s="2197"/>
      <c r="B46" s="2197"/>
      <c r="C46" s="2197"/>
      <c r="D46" s="2197"/>
      <c r="E46" s="2197"/>
      <c r="F46" s="2197"/>
      <c r="G46" s="2197"/>
      <c r="H46" s="2197"/>
      <c r="I46" s="2197"/>
      <c r="J46" s="2197"/>
      <c r="K46" s="2197"/>
      <c r="L46" s="2197"/>
      <c r="M46" s="2197"/>
      <c r="N46" s="2197"/>
      <c r="O46" s="2197"/>
      <c r="P46" s="2197"/>
      <c r="Q46" s="2197"/>
      <c r="R46" s="2197"/>
      <c r="S46" s="2197"/>
      <c r="T46" s="2197"/>
      <c r="U46" s="2197"/>
      <c r="V46" s="2197"/>
      <c r="W46" s="2197"/>
      <c r="X46" s="2197"/>
      <c r="Y46" s="2197"/>
      <c r="Z46" s="2197"/>
      <c r="AA46" s="2197"/>
      <c r="AB46" s="2197"/>
      <c r="AC46" s="2197"/>
      <c r="AD46" s="2197"/>
    </row>
    <row r="47" spans="1:30" ht="10.5" customHeight="1">
      <c r="A47" s="2197"/>
      <c r="B47" s="2197"/>
      <c r="C47" s="2197"/>
      <c r="D47" s="2197"/>
      <c r="E47" s="2197"/>
      <c r="F47" s="2197"/>
      <c r="G47" s="2197"/>
      <c r="H47" s="2197"/>
      <c r="I47" s="2197"/>
      <c r="J47" s="2197"/>
      <c r="K47" s="2197"/>
      <c r="L47" s="2197"/>
      <c r="M47" s="2197"/>
      <c r="N47" s="2197"/>
      <c r="O47" s="2197"/>
      <c r="P47" s="2197"/>
      <c r="Q47" s="2197"/>
      <c r="R47" s="2197"/>
      <c r="S47" s="2197"/>
      <c r="T47" s="2197"/>
      <c r="U47" s="2197"/>
      <c r="V47" s="2197"/>
      <c r="W47" s="2197"/>
      <c r="X47" s="2197"/>
      <c r="Y47" s="2197"/>
      <c r="Z47" s="2197"/>
      <c r="AA47" s="2197"/>
      <c r="AB47" s="2197"/>
      <c r="AC47" s="2197"/>
      <c r="AD47" s="2197"/>
    </row>
    <row r="48" spans="1:30" ht="9.75" customHeight="1">
      <c r="A48" s="2197"/>
      <c r="B48" s="2197"/>
      <c r="C48" s="2197"/>
      <c r="D48" s="2197"/>
      <c r="E48" s="2197"/>
      <c r="F48" s="2197"/>
      <c r="G48" s="2197"/>
      <c r="H48" s="2197"/>
      <c r="I48" s="2197"/>
      <c r="J48" s="2197"/>
      <c r="K48" s="2197"/>
      <c r="L48" s="2197"/>
      <c r="M48" s="2197"/>
      <c r="N48" s="2197"/>
      <c r="O48" s="2197"/>
      <c r="P48" s="2197"/>
      <c r="Q48" s="2197"/>
      <c r="R48" s="2197"/>
      <c r="S48" s="2197"/>
      <c r="T48" s="2197"/>
      <c r="U48" s="2197"/>
      <c r="V48" s="2197"/>
      <c r="W48" s="2197"/>
      <c r="X48" s="2197"/>
      <c r="Y48" s="2197"/>
      <c r="Z48" s="2197"/>
      <c r="AA48" s="2197"/>
      <c r="AB48" s="2197"/>
      <c r="AC48" s="2197"/>
      <c r="AD48" s="2197"/>
    </row>
    <row r="49" spans="1:30" ht="12.75">
      <c r="A49" s="2197"/>
      <c r="B49" s="2197"/>
      <c r="C49" s="2197"/>
      <c r="D49" s="2197"/>
      <c r="E49" s="2197"/>
      <c r="F49" s="2197"/>
      <c r="G49" s="2197"/>
      <c r="H49" s="2197"/>
      <c r="I49" s="2197"/>
      <c r="J49" s="2197"/>
      <c r="K49" s="2197"/>
      <c r="L49" s="2197"/>
      <c r="M49" s="2197"/>
      <c r="N49" s="2197"/>
      <c r="O49" s="2197"/>
      <c r="P49" s="2197"/>
      <c r="Q49" s="2197"/>
      <c r="R49" s="2197"/>
      <c r="S49" s="2197"/>
      <c r="T49" s="2197"/>
      <c r="U49" s="2197"/>
      <c r="V49" s="2197"/>
      <c r="W49" s="2197"/>
      <c r="X49" s="2197"/>
      <c r="Y49" s="2197"/>
      <c r="Z49" s="2197"/>
      <c r="AA49" s="2197"/>
      <c r="AB49" s="2197"/>
      <c r="AC49" s="2197"/>
      <c r="AD49" s="2197"/>
    </row>
    <row r="50" spans="1:30" ht="12.75">
      <c r="A50" s="2197"/>
      <c r="B50" s="2197"/>
      <c r="C50" s="2197"/>
      <c r="D50" s="2197"/>
      <c r="E50" s="2197"/>
      <c r="F50" s="2197"/>
      <c r="G50" s="2197"/>
      <c r="H50" s="2197"/>
      <c r="I50" s="2197"/>
      <c r="J50" s="2197"/>
      <c r="K50" s="2197"/>
      <c r="L50" s="2197"/>
      <c r="M50" s="2197"/>
      <c r="N50" s="2197"/>
      <c r="O50" s="2197"/>
      <c r="P50" s="2197"/>
      <c r="Q50" s="2197"/>
      <c r="R50" s="2197"/>
      <c r="S50" s="2197"/>
      <c r="T50" s="2197"/>
      <c r="U50" s="2197"/>
      <c r="V50" s="2197"/>
      <c r="W50" s="2197"/>
      <c r="X50" s="2197"/>
      <c r="Y50" s="2197"/>
      <c r="Z50" s="2197"/>
      <c r="AA50" s="2197"/>
      <c r="AB50" s="2197"/>
      <c r="AC50" s="2197"/>
      <c r="AD50" s="2197"/>
    </row>
    <row r="51" spans="1:30" ht="12" customHeight="1">
      <c r="A51" s="2197"/>
      <c r="B51" s="2197"/>
      <c r="C51" s="2197"/>
      <c r="D51" s="2197"/>
      <c r="E51" s="2197"/>
      <c r="F51" s="2197"/>
      <c r="G51" s="2197"/>
      <c r="H51" s="2197"/>
      <c r="I51" s="2197"/>
      <c r="J51" s="2197"/>
      <c r="K51" s="2197"/>
      <c r="L51" s="2197"/>
      <c r="M51" s="2197"/>
      <c r="N51" s="2197"/>
      <c r="O51" s="2197"/>
      <c r="P51" s="2197"/>
      <c r="Q51" s="2197"/>
      <c r="R51" s="2197"/>
      <c r="S51" s="2197"/>
      <c r="T51" s="2197"/>
      <c r="U51" s="2197"/>
      <c r="V51" s="2197"/>
      <c r="W51" s="2197"/>
      <c r="X51" s="2197"/>
      <c r="Y51" s="2197"/>
      <c r="Z51" s="2197"/>
      <c r="AA51" s="2197"/>
      <c r="AB51" s="2197"/>
      <c r="AC51" s="2197"/>
      <c r="AD51" s="2197"/>
    </row>
    <row r="52" spans="1:30" ht="12.75">
      <c r="A52" s="2197"/>
      <c r="B52" s="2197"/>
      <c r="C52" s="2197"/>
      <c r="D52" s="2197"/>
      <c r="E52" s="2197"/>
      <c r="F52" s="2197"/>
      <c r="G52" s="2197"/>
      <c r="H52" s="2197"/>
      <c r="I52" s="2197"/>
      <c r="J52" s="2197"/>
      <c r="K52" s="2197"/>
      <c r="L52" s="2197"/>
      <c r="M52" s="2197"/>
      <c r="N52" s="2197"/>
      <c r="O52" s="2197"/>
      <c r="P52" s="2197"/>
      <c r="Q52" s="2197"/>
      <c r="R52" s="2197"/>
      <c r="S52" s="2197"/>
      <c r="T52" s="2197"/>
      <c r="U52" s="2197"/>
      <c r="V52" s="2197"/>
      <c r="W52" s="2197"/>
      <c r="X52" s="2197"/>
      <c r="Y52" s="2197"/>
      <c r="Z52" s="2197"/>
      <c r="AA52" s="2197"/>
      <c r="AB52" s="2197"/>
      <c r="AC52" s="2197"/>
      <c r="AD52" s="2197"/>
    </row>
    <row r="53" spans="1:30" ht="12.75">
      <c r="A53" s="2197"/>
      <c r="B53" s="2197"/>
      <c r="C53" s="2197"/>
      <c r="D53" s="2197"/>
      <c r="E53" s="2197"/>
      <c r="F53" s="2197"/>
      <c r="G53" s="2197"/>
      <c r="H53" s="2197"/>
      <c r="I53" s="2197"/>
      <c r="J53" s="2197"/>
      <c r="K53" s="2197"/>
      <c r="L53" s="2197"/>
      <c r="M53" s="2197"/>
      <c r="N53" s="2197"/>
      <c r="O53" s="2197"/>
      <c r="P53" s="2197"/>
      <c r="Q53" s="2197"/>
      <c r="R53" s="2197"/>
      <c r="S53" s="2197"/>
      <c r="T53" s="2197"/>
      <c r="U53" s="2197"/>
      <c r="V53" s="2197"/>
      <c r="W53" s="2197"/>
      <c r="X53" s="2197"/>
      <c r="Y53" s="2197"/>
      <c r="Z53" s="2197"/>
      <c r="AA53" s="2197"/>
      <c r="AB53" s="2197"/>
      <c r="AC53" s="2197"/>
      <c r="AD53" s="2197"/>
    </row>
    <row r="54" spans="1:30" ht="12.75">
      <c r="A54" s="2197"/>
      <c r="B54" s="2197"/>
      <c r="C54" s="2197"/>
      <c r="D54" s="2197"/>
      <c r="E54" s="2197"/>
      <c r="F54" s="2197"/>
      <c r="G54" s="2197"/>
      <c r="H54" s="2197"/>
      <c r="I54" s="2197"/>
      <c r="J54" s="2197"/>
      <c r="K54" s="2197"/>
      <c r="L54" s="2197"/>
      <c r="M54" s="2197"/>
      <c r="N54" s="2197"/>
      <c r="O54" s="2197"/>
      <c r="P54" s="2197"/>
      <c r="Q54" s="2197"/>
      <c r="R54" s="2197"/>
      <c r="S54" s="2197"/>
      <c r="T54" s="2197"/>
      <c r="U54" s="2197"/>
      <c r="V54" s="2197"/>
      <c r="W54" s="2197"/>
      <c r="X54" s="2197"/>
      <c r="Y54" s="2197"/>
      <c r="Z54" s="2197"/>
      <c r="AA54" s="2197"/>
      <c r="AB54" s="2197"/>
      <c r="AC54" s="2197"/>
      <c r="AD54" s="2197"/>
    </row>
    <row r="55" spans="1:30" ht="12.75">
      <c r="A55" s="2197"/>
      <c r="B55" s="2197"/>
      <c r="C55" s="2197"/>
      <c r="D55" s="2197"/>
      <c r="E55" s="2197"/>
      <c r="F55" s="2197"/>
      <c r="G55" s="2197"/>
      <c r="H55" s="2197"/>
      <c r="I55" s="2197"/>
      <c r="J55" s="2197"/>
      <c r="K55" s="2197"/>
      <c r="L55" s="2197"/>
      <c r="M55" s="2197"/>
      <c r="N55" s="2197"/>
      <c r="O55" s="2197"/>
      <c r="P55" s="2197"/>
      <c r="Q55" s="2197"/>
      <c r="R55" s="2197"/>
      <c r="S55" s="2197"/>
      <c r="T55" s="2197"/>
      <c r="U55" s="2197"/>
      <c r="V55" s="2197"/>
      <c r="W55" s="2197"/>
      <c r="X55" s="2197"/>
      <c r="Y55" s="2197"/>
      <c r="Z55" s="2197"/>
      <c r="AA55" s="2197"/>
      <c r="AB55" s="2197"/>
      <c r="AC55" s="2197"/>
      <c r="AD55" s="2197"/>
    </row>
  </sheetData>
  <sheetProtection algorithmName="SHA-512" hashValue="T9KhFTZQAPiu3ayt/8KifEKwD+77TVKHI/yxX9vGOeKLWGvYjQs2SaxSzvznsvRWFBsbMLht7e6pUE6vBDBAYA==" saltValue="IFKJJVZY2SThI+f5vjb2/A==" spinCount="100000" sheet="1" objects="1" scenarios="1"/>
  <customSheetViews>
    <customSheetView guid="{97D6DB71-3F4C-4C5F-8C5B-51E3EBF78932}" showPageBreaks="1" showGridLines="0" hiddenRows="1" hiddenColumns="1" topLeftCell="A4">
      <pane xSplit="2" topLeftCell="X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1"/>
      <headerFooter>
        <oddHeader>&amp;L&amp;8Statistiska Centralbyrån
Offentlig ekonomi&amp;R&amp;P</oddHeader>
      </headerFooter>
    </customSheetView>
    <customSheetView guid="{99FBDEB7-DD08-4F57-81F4-3C180403E153}" showGridLines="0" hiddenRows="1" hiddenColumns="1">
      <pane xSplit="2" topLeftCell="C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2"/>
      <headerFooter>
        <oddHeader>&amp;L&amp;8Statistiska Centralbyrån
Offentlig ekonomi&amp;R&amp;P</oddHeader>
      </headerFooter>
    </customSheetView>
    <customSheetView guid="{27C9E95B-0E2B-454F-B637-1CECC9579A10}" showGridLines="0" hiddenRows="1" hiddenColumns="1" showRuler="0">
      <pane xSplit="2" topLeftCell="J1" activePane="topRight" state="frozen"/>
      <selection pane="topRight" activeCell="AD22" sqref="AD2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3"/>
      <headerFooter alignWithMargins="0">
        <oddHeader>&amp;L&amp;8Statistiska Centralbyrån
Offentlig ekonomi&amp;R&amp;P</oddHeader>
      </headerFooter>
    </customSheetView>
  </customSheetViews>
  <phoneticPr fontId="86" type="noConversion"/>
  <conditionalFormatting sqref="D32:L32 D34:L34 O34:W34 O32:W32 Y32:AC32 Y34:AC34">
    <cfRule type="cellIs" dxfId="71" priority="40" stopIfTrue="1" operator="lessThan">
      <formula>-500</formula>
    </cfRule>
    <cfRule type="cellIs" dxfId="70" priority="41" stopIfTrue="1" operator="greaterThan">
      <formula>D31</formula>
    </cfRule>
  </conditionalFormatting>
  <conditionalFormatting sqref="M9:M26 M30:M40 X9:X40">
    <cfRule type="cellIs" dxfId="69" priority="27" stopIfTrue="1" operator="notBetween">
      <formula>-500</formula>
      <formula>500</formula>
    </cfRule>
  </conditionalFormatting>
  <conditionalFormatting sqref="M27:M29">
    <cfRule type="cellIs" dxfId="68" priority="11" stopIfTrue="1" operator="notBetween">
      <formula>-10</formula>
      <formula>10</formula>
    </cfRule>
  </conditionalFormatting>
  <conditionalFormatting sqref="D9:L39 Y9:AC39 O9:W39">
    <cfRule type="cellIs" dxfId="67" priority="9" stopIfTrue="1" operator="lessThan">
      <formula>-500</formula>
    </cfRule>
  </conditionalFormatting>
  <conditionalFormatting sqref="J9:J39">
    <cfRule type="cellIs" dxfId="66" priority="8" stopIfTrue="1" operator="greaterThan">
      <formula>1</formula>
    </cfRule>
  </conditionalFormatting>
  <conditionalFormatting sqref="U31">
    <cfRule type="cellIs" dxfId="65" priority="7" stopIfTrue="1" operator="greaterThan">
      <formula>1</formula>
    </cfRule>
  </conditionalFormatting>
  <conditionalFormatting sqref="U33">
    <cfRule type="cellIs" dxfId="64" priority="6" stopIfTrue="1" operator="greaterThan">
      <formula>1</formula>
    </cfRule>
  </conditionalFormatting>
  <dataValidations count="1">
    <dataValidation type="decimal" operator="lessThan" allowBlank="1" showInputMessage="1" showErrorMessage="1" error="Beloppet ska vara i 1000 tal kr" sqref="D9:L39 O9:W39 Y9:AC39 C32 C34 N32 N34" xr:uid="{00000000-0002-0000-0700-000000000000}">
      <formula1>99999999</formula1>
    </dataValidation>
  </dataValidations>
  <pageMargins left="0.70866141732283472" right="0.70866141732283472" top="0.54" bottom="0.17" header="0.19685039370078741" footer="0.15748031496062992"/>
  <pageSetup paperSize="9" scale="65" orientation="landscape" r:id="rId4"/>
  <headerFooter>
    <oddHeader>&amp;L&amp;8Statistiska Centralbyrån
Offentlig ekonomi&amp;R&amp;P</oddHeader>
  </headerFooter>
  <colBreaks count="2" manualBreakCount="2">
    <brk id="13" max="1048575" man="1"/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0">
    <tabColor rgb="FFFFFF00"/>
  </sheetPr>
  <dimension ref="A1:IV104"/>
  <sheetViews>
    <sheetView showGridLines="0" zoomScaleNormal="100" workbookViewId="0">
      <pane xSplit="2" ySplit="7" topLeftCell="C8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0" customHeight="1" zeroHeight="1"/>
  <cols>
    <col min="1" max="1" width="4" style="264" customWidth="1"/>
    <col min="2" max="2" width="27.140625" style="212" customWidth="1"/>
    <col min="3" max="3" width="10.140625" style="212" customWidth="1"/>
    <col min="4" max="5" width="10.42578125" style="212" customWidth="1"/>
    <col min="6" max="6" width="9.5703125" style="212" customWidth="1"/>
    <col min="7" max="7" width="8.42578125" style="212" customWidth="1"/>
    <col min="8" max="8" width="8.42578125" style="265" hidden="1" customWidth="1"/>
    <col min="9" max="9" width="25.5703125" style="212" customWidth="1"/>
    <col min="10" max="10" width="7.28515625" style="212" customWidth="1"/>
    <col min="11" max="11" width="1.42578125" style="213" customWidth="1"/>
    <col min="12" max="12" width="0.85546875" style="213" customWidth="1"/>
    <col min="13" max="13" width="12.7109375" style="171" customWidth="1"/>
    <col min="14" max="15" width="1" style="171" customWidth="1"/>
    <col min="16" max="16" width="1" style="266" customWidth="1"/>
    <col min="17" max="17" width="59.7109375" style="4" customWidth="1"/>
    <col min="18" max="23" width="8.42578125" style="170" customWidth="1"/>
    <col min="24" max="24" width="8.42578125" style="171" customWidth="1"/>
    <col min="25" max="26" width="9.140625" style="170" customWidth="1"/>
    <col min="27" max="16384" width="0" style="170" hidden="1"/>
  </cols>
  <sheetData>
    <row r="1" spans="1:256" ht="21.75">
      <c r="A1" s="77" t="str">
        <f>"Specificering pedagogisk verksamhet "&amp;År&amp;", miljoner kr"</f>
        <v>Specificering pedagogisk verksamhet 2021, miljoner kr</v>
      </c>
      <c r="B1" s="78"/>
      <c r="C1" s="78"/>
      <c r="D1" s="78"/>
      <c r="E1" s="169"/>
      <c r="F1" s="169"/>
      <c r="G1" s="169"/>
      <c r="H1" s="255"/>
      <c r="I1" s="518" t="s">
        <v>457</v>
      </c>
      <c r="J1" s="515" t="str">
        <f>Information!A2</f>
        <v>RIKSTOTAL</v>
      </c>
      <c r="K1" s="196"/>
      <c r="L1" s="196"/>
      <c r="M1" s="1257"/>
      <c r="N1" s="169"/>
      <c r="O1" s="77"/>
      <c r="P1" s="140"/>
      <c r="Q1" s="169"/>
      <c r="R1" s="2197"/>
      <c r="S1" s="2197"/>
      <c r="T1" s="2197"/>
      <c r="U1" s="2197"/>
      <c r="V1" s="2197"/>
      <c r="W1" s="2197"/>
      <c r="X1" s="2197"/>
      <c r="Y1" s="2197"/>
      <c r="Z1" s="2197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1:256" ht="17.25" customHeight="1">
      <c r="A2" s="2197"/>
      <c r="B2" s="2197"/>
      <c r="C2" s="2197"/>
      <c r="D2" s="2197"/>
      <c r="E2" s="2197"/>
      <c r="F2" s="2197"/>
      <c r="G2" s="2197"/>
      <c r="H2" s="2197"/>
      <c r="I2" s="2197"/>
      <c r="J2" s="2197"/>
      <c r="K2" s="2197"/>
      <c r="L2" s="2197"/>
      <c r="M2" s="2197"/>
      <c r="N2" s="2197"/>
      <c r="O2" s="2197"/>
      <c r="P2" s="2197"/>
      <c r="Q2" s="2197"/>
      <c r="R2" s="2197"/>
      <c r="S2" s="2197"/>
      <c r="T2" s="2197"/>
      <c r="U2" s="2197"/>
      <c r="V2" s="2197"/>
      <c r="W2" s="2197"/>
      <c r="X2" s="2197"/>
      <c r="Y2" s="2197"/>
      <c r="Z2" s="2197"/>
    </row>
    <row r="3" spans="1:256" ht="17.25" customHeight="1" thickBot="1">
      <c r="A3" s="2197"/>
      <c r="B3" s="2197"/>
      <c r="C3" s="2197"/>
      <c r="D3" s="2197"/>
      <c r="E3" s="2197"/>
      <c r="F3" s="2197"/>
      <c r="G3" s="2197"/>
      <c r="H3" s="2197"/>
      <c r="I3" s="2197"/>
      <c r="J3" s="2197"/>
      <c r="K3" s="2197"/>
      <c r="L3" s="2197"/>
      <c r="M3" s="2197"/>
      <c r="N3" s="2197"/>
      <c r="O3" s="2197"/>
      <c r="P3" s="2197"/>
      <c r="Q3" s="2197"/>
      <c r="R3" s="2197"/>
      <c r="S3" s="2197"/>
      <c r="T3" s="2197"/>
      <c r="U3" s="2197"/>
      <c r="V3" s="2197"/>
      <c r="W3" s="2197"/>
      <c r="X3" s="2197"/>
      <c r="Y3" s="2197"/>
      <c r="Z3" s="2197"/>
    </row>
    <row r="4" spans="1:256" ht="11.25" customHeight="1">
      <c r="A4" s="1313" t="s">
        <v>622</v>
      </c>
      <c r="B4" s="1312" t="s">
        <v>456</v>
      </c>
      <c r="C4" s="1056" t="s">
        <v>143</v>
      </c>
      <c r="D4" s="1308"/>
      <c r="E4" s="787" t="s">
        <v>143</v>
      </c>
      <c r="F4" s="1308"/>
      <c r="G4" s="1307"/>
      <c r="H4" s="256" t="s">
        <v>580</v>
      </c>
      <c r="I4" s="2582" t="s">
        <v>1070</v>
      </c>
      <c r="J4" s="2583"/>
      <c r="K4" s="2583"/>
      <c r="L4" s="2583"/>
      <c r="M4" s="2573" t="s">
        <v>939</v>
      </c>
      <c r="N4" s="2197"/>
      <c r="O4" s="2197"/>
      <c r="P4" s="2197"/>
      <c r="Q4" s="2571" t="s">
        <v>60</v>
      </c>
      <c r="R4" s="2197"/>
      <c r="S4" s="2197"/>
      <c r="T4" s="2197"/>
      <c r="U4" s="2197"/>
      <c r="V4" s="2197"/>
      <c r="W4" s="2197"/>
      <c r="X4" s="2197"/>
      <c r="Y4" s="2197"/>
      <c r="Z4" s="2197"/>
    </row>
    <row r="5" spans="1:256" ht="12.75" customHeight="1">
      <c r="A5" s="1314" t="s">
        <v>625</v>
      </c>
      <c r="B5" s="836"/>
      <c r="C5" s="1057" t="s">
        <v>44</v>
      </c>
      <c r="D5" s="2576" t="s">
        <v>817</v>
      </c>
      <c r="E5" s="790" t="s">
        <v>150</v>
      </c>
      <c r="F5" s="2576" t="s">
        <v>1156</v>
      </c>
      <c r="G5" s="2579" t="s">
        <v>1216</v>
      </c>
      <c r="H5" s="150"/>
      <c r="I5" s="2584"/>
      <c r="J5" s="2585"/>
      <c r="K5" s="2585"/>
      <c r="L5" s="2586"/>
      <c r="M5" s="2574"/>
      <c r="N5" s="2197"/>
      <c r="O5" s="2197"/>
      <c r="P5" s="2197"/>
      <c r="Q5" s="2572"/>
      <c r="R5" s="2197"/>
      <c r="S5" s="2197"/>
      <c r="T5" s="2197"/>
      <c r="U5" s="2197"/>
      <c r="V5" s="2197"/>
      <c r="W5" s="2197"/>
      <c r="X5" s="2197"/>
      <c r="Y5" s="2197"/>
      <c r="Z5" s="2197"/>
    </row>
    <row r="6" spans="1:256" ht="36.75" customHeight="1">
      <c r="A6" s="1058"/>
      <c r="B6" s="836"/>
      <c r="C6" s="1057"/>
      <c r="D6" s="2577"/>
      <c r="E6" s="559"/>
      <c r="F6" s="2577"/>
      <c r="G6" s="2580"/>
      <c r="H6" s="150"/>
      <c r="I6" s="1385"/>
      <c r="J6" s="1396"/>
      <c r="K6" s="1396"/>
      <c r="L6" s="2345"/>
      <c r="M6" s="2575"/>
      <c r="N6" s="2197"/>
      <c r="O6" s="2197"/>
      <c r="P6" s="2197"/>
      <c r="Q6" s="2572"/>
      <c r="R6" s="2197"/>
      <c r="S6" s="2197"/>
      <c r="T6" s="2197"/>
      <c r="U6" s="2197"/>
      <c r="V6" s="2197"/>
      <c r="W6" s="2197"/>
      <c r="X6" s="2197"/>
      <c r="Y6" s="2197"/>
      <c r="Z6" s="2197"/>
      <c r="IV6" s="2570"/>
    </row>
    <row r="7" spans="1:256" ht="65.25" customHeight="1" thickBot="1">
      <c r="A7" s="1048"/>
      <c r="B7" s="836"/>
      <c r="C7" s="1050"/>
      <c r="D7" s="2578"/>
      <c r="E7" s="559"/>
      <c r="F7" s="2578"/>
      <c r="G7" s="2581"/>
      <c r="H7" s="150"/>
      <c r="I7" s="1397"/>
      <c r="J7" s="836"/>
      <c r="K7" s="1398"/>
      <c r="L7" s="1394"/>
      <c r="M7" s="2354" t="str">
        <f>"År "&amp;År</f>
        <v>År 2021</v>
      </c>
      <c r="N7" s="2197"/>
      <c r="O7" s="2197"/>
      <c r="P7" s="2197"/>
      <c r="Q7" s="2572"/>
      <c r="R7" s="2197"/>
      <c r="S7" s="2197"/>
      <c r="T7" s="2197"/>
      <c r="U7" s="2197"/>
      <c r="V7" s="2197"/>
      <c r="W7" s="2197"/>
      <c r="X7" s="2197"/>
      <c r="Y7" s="2197"/>
      <c r="Z7" s="2197"/>
      <c r="IV7" s="2570"/>
    </row>
    <row r="8" spans="1:256" ht="12.75">
      <c r="A8" s="1079" t="s">
        <v>394</v>
      </c>
      <c r="B8" s="1080" t="s">
        <v>541</v>
      </c>
      <c r="C8" s="121">
        <f>Drift!P47</f>
        <v>93880.230000000025</v>
      </c>
      <c r="D8" s="122">
        <f>SUM(Motpart!D13:L13)</f>
        <v>16952.349999999999</v>
      </c>
      <c r="E8" s="122">
        <f>Drift!W47</f>
        <v>21230.254000000001</v>
      </c>
      <c r="F8" s="122">
        <f>Motpart!Y13</f>
        <v>433.15800000000002</v>
      </c>
      <c r="G8" s="129">
        <f>Drift!V47</f>
        <v>9499.1640000000007</v>
      </c>
      <c r="H8" s="151"/>
      <c r="I8" s="1039" t="s">
        <v>855</v>
      </c>
      <c r="J8" s="1491">
        <v>599212</v>
      </c>
      <c r="K8" s="1389"/>
      <c r="L8" s="1389"/>
      <c r="M8" s="2355">
        <f>(C8-F8-G8)*1000000/J8</f>
        <v>140097.17428889946</v>
      </c>
      <c r="N8" s="2197"/>
      <c r="O8" s="2197"/>
      <c r="P8" s="2197"/>
      <c r="Q8" s="2367" t="s">
        <v>861</v>
      </c>
      <c r="R8" s="2197"/>
      <c r="S8" s="2197"/>
      <c r="T8" s="2197"/>
      <c r="U8" s="2197"/>
      <c r="V8" s="2197"/>
      <c r="W8" s="2197"/>
      <c r="X8" s="2197"/>
      <c r="Y8" s="2197"/>
      <c r="Z8" s="2197"/>
    </row>
    <row r="9" spans="1:256" s="1238" customFormat="1" ht="12.75">
      <c r="A9" s="1081" t="s">
        <v>317</v>
      </c>
      <c r="B9" s="1082" t="s">
        <v>364</v>
      </c>
      <c r="C9" s="364">
        <f>C8-G8-D8</f>
        <v>67428.716000000015</v>
      </c>
      <c r="D9" s="1059"/>
      <c r="E9" s="1065"/>
      <c r="F9" s="1065"/>
      <c r="G9" s="1071"/>
      <c r="H9" s="152">
        <v>850</v>
      </c>
      <c r="I9" s="1386"/>
      <c r="J9" s="1387"/>
      <c r="K9" s="1388"/>
      <c r="L9" s="1388"/>
      <c r="M9" s="2356">
        <f>C9*1000000/J8</f>
        <v>112528.9813955662</v>
      </c>
      <c r="N9" s="2197"/>
      <c r="O9" s="2197"/>
      <c r="P9" s="2197"/>
      <c r="Q9" s="2367" t="s">
        <v>862</v>
      </c>
      <c r="R9" s="2197"/>
      <c r="S9" s="2197"/>
      <c r="T9" s="2197"/>
      <c r="U9" s="2197"/>
      <c r="V9" s="2197"/>
      <c r="W9" s="2197"/>
      <c r="X9" s="2197"/>
      <c r="Y9" s="2197"/>
      <c r="Z9" s="2197"/>
    </row>
    <row r="10" spans="1:256" s="1234" customFormat="1" ht="12.75">
      <c r="A10" s="1081" t="s">
        <v>315</v>
      </c>
      <c r="B10" s="1083" t="s">
        <v>1138</v>
      </c>
      <c r="C10" s="83">
        <f>Drift!C47+Drift!D47</f>
        <v>48206.633999999998</v>
      </c>
      <c r="D10" s="1059"/>
      <c r="E10" s="1066"/>
      <c r="F10" s="1066"/>
      <c r="G10" s="1071"/>
      <c r="H10" s="152">
        <v>851</v>
      </c>
      <c r="I10" s="1386"/>
      <c r="J10" s="1387"/>
      <c r="K10" s="1115"/>
      <c r="L10" s="1115"/>
      <c r="M10" s="2356">
        <f>IF(C10=0,0,C10*100/C9)</f>
        <v>71.492736121506425</v>
      </c>
      <c r="N10" s="2197"/>
      <c r="O10" s="2197"/>
      <c r="P10" s="2197"/>
      <c r="Q10" s="2367" t="s">
        <v>365</v>
      </c>
      <c r="R10" s="2197"/>
      <c r="S10" s="2197"/>
      <c r="T10" s="2197"/>
      <c r="U10" s="2197"/>
      <c r="V10" s="2197"/>
      <c r="W10" s="2197"/>
      <c r="X10" s="2197"/>
      <c r="Y10" s="2197"/>
      <c r="Z10" s="2197"/>
    </row>
    <row r="11" spans="1:256" s="1234" customFormat="1" ht="12.75">
      <c r="A11" s="1081" t="s">
        <v>318</v>
      </c>
      <c r="B11" s="1083" t="s">
        <v>538</v>
      </c>
      <c r="C11" s="2132">
        <v>10371.653</v>
      </c>
      <c r="D11" s="1060" t="str">
        <f>IF(C8=0,"",IF(OR(C11&lt;=Drift!I47+Drift!J47+Drift!L47,C11&gt;=((Drift!I47+Drift!J47+Drift!L47)*1.5)),"Kontrollera",""))</f>
        <v/>
      </c>
      <c r="E11" s="246">
        <v>141.43799999999999</v>
      </c>
      <c r="F11" s="1066"/>
      <c r="G11" s="267">
        <v>106.13200000000001</v>
      </c>
      <c r="H11" s="152"/>
      <c r="I11" s="836"/>
      <c r="J11" s="1492"/>
      <c r="K11" s="1111"/>
      <c r="L11" s="1111"/>
      <c r="M11" s="2356">
        <f>(C11-E11)*1000000/J8</f>
        <v>17072.780585168523</v>
      </c>
      <c r="N11" s="2197"/>
      <c r="O11" s="2197"/>
      <c r="P11" s="2197"/>
      <c r="Q11" s="2367" t="s">
        <v>863</v>
      </c>
      <c r="R11" s="2197"/>
      <c r="S11" s="2197"/>
      <c r="T11" s="2197"/>
      <c r="U11" s="2197"/>
      <c r="V11" s="2197"/>
      <c r="W11" s="2197"/>
      <c r="X11" s="2197"/>
      <c r="Y11" s="2197"/>
      <c r="Z11" s="2197"/>
    </row>
    <row r="12" spans="1:256" s="1234" customFormat="1" ht="12.75">
      <c r="A12" s="1081" t="s">
        <v>458</v>
      </c>
      <c r="B12" s="1083" t="s">
        <v>495</v>
      </c>
      <c r="C12" s="1063"/>
      <c r="D12" s="1061"/>
      <c r="E12" s="84">
        <f>Drift!R47</f>
        <v>5131.1509999999998</v>
      </c>
      <c r="F12" s="1067"/>
      <c r="G12" s="1253"/>
      <c r="H12" s="166" t="s">
        <v>554</v>
      </c>
      <c r="I12" s="1113"/>
      <c r="J12" s="1387"/>
      <c r="K12" s="1388"/>
      <c r="L12" s="1388"/>
      <c r="M12" s="2356">
        <f>(Motpart!G13+Motpart!K13)*1000000/J8</f>
        <v>727.83589113702669</v>
      </c>
      <c r="N12" s="2197"/>
      <c r="O12" s="2197"/>
      <c r="P12" s="2197"/>
      <c r="Q12" s="2367" t="s">
        <v>864</v>
      </c>
      <c r="R12" s="2197"/>
      <c r="S12" s="2197"/>
      <c r="T12" s="2197"/>
      <c r="U12" s="2197"/>
      <c r="V12" s="2197"/>
      <c r="W12" s="2197"/>
      <c r="X12" s="2197"/>
      <c r="Y12" s="2197"/>
      <c r="Z12" s="2197"/>
    </row>
    <row r="13" spans="1:256" s="1234" customFormat="1" ht="12.75">
      <c r="A13" s="1081" t="s">
        <v>459</v>
      </c>
      <c r="B13" s="1083" t="s">
        <v>460</v>
      </c>
      <c r="C13" s="1064"/>
      <c r="D13" s="1061"/>
      <c r="E13" s="246">
        <v>504.85599999999999</v>
      </c>
      <c r="F13" s="1067"/>
      <c r="G13" s="1253"/>
      <c r="H13" s="167" t="s">
        <v>555</v>
      </c>
      <c r="I13" s="1113"/>
      <c r="J13" s="1387"/>
      <c r="K13" s="1388"/>
      <c r="L13" s="1388"/>
      <c r="M13" s="2356">
        <f>F8*1000000/J8</f>
        <v>722.87938158781867</v>
      </c>
      <c r="N13" s="2197"/>
      <c r="O13" s="2197"/>
      <c r="P13" s="2197"/>
      <c r="Q13" s="2367" t="s">
        <v>865</v>
      </c>
      <c r="R13" s="2197"/>
      <c r="S13" s="2197"/>
      <c r="T13" s="2197"/>
      <c r="U13" s="2197"/>
      <c r="V13" s="2197"/>
      <c r="W13" s="2197"/>
      <c r="X13" s="2197"/>
      <c r="Y13" s="2197"/>
      <c r="Z13" s="2197"/>
    </row>
    <row r="14" spans="1:256" s="1234" customFormat="1" ht="12.75">
      <c r="A14" s="1084" t="s">
        <v>571</v>
      </c>
      <c r="B14" s="1085"/>
      <c r="C14" s="1064"/>
      <c r="D14" s="1062"/>
      <c r="E14" s="1070"/>
      <c r="F14" s="1068"/>
      <c r="G14" s="1253"/>
      <c r="H14" s="166" t="s">
        <v>556</v>
      </c>
      <c r="I14" s="1113"/>
      <c r="J14" s="1387"/>
      <c r="K14" s="1388"/>
      <c r="L14" s="1388"/>
      <c r="M14" s="2356">
        <f>((Motpart!D13+Motpart!E13+Motpart!F13+Motpart!J13)-((Motpart!D13+Motpart!E13+Motpart!F13+Motpart!J13)*0.06))*1000000/J8</f>
        <v>25872.002963892581</v>
      </c>
      <c r="N14" s="2197"/>
      <c r="O14" s="2197"/>
      <c r="P14" s="2197"/>
      <c r="Q14" s="2367" t="s">
        <v>866</v>
      </c>
      <c r="R14" s="2197"/>
      <c r="S14" s="2197"/>
      <c r="T14" s="2197"/>
      <c r="U14" s="2197"/>
      <c r="V14" s="2197"/>
      <c r="W14" s="2197"/>
      <c r="X14" s="2197"/>
      <c r="Y14" s="2197"/>
      <c r="Z14" s="2197"/>
    </row>
    <row r="15" spans="1:256" s="1239" customFormat="1" ht="13.5" thickBot="1">
      <c r="A15" s="1084" t="s">
        <v>313</v>
      </c>
      <c r="B15" s="1085"/>
      <c r="C15" s="1064"/>
      <c r="D15" s="1062"/>
      <c r="E15" s="1062"/>
      <c r="F15" s="1069"/>
      <c r="G15" s="1072"/>
      <c r="H15" s="153"/>
      <c r="I15" s="1395"/>
      <c r="J15" s="1493"/>
      <c r="K15" s="1112"/>
      <c r="L15" s="1112"/>
      <c r="M15" s="2357">
        <f>IF(C9=0,0,(E12-E13)*100/C9)</f>
        <v>6.8610160098555024</v>
      </c>
      <c r="N15" s="2197"/>
      <c r="O15" s="2197"/>
      <c r="P15" s="2197"/>
      <c r="Q15" s="2367" t="s">
        <v>523</v>
      </c>
      <c r="R15" s="2197"/>
      <c r="S15" s="2197"/>
      <c r="T15" s="2197"/>
      <c r="U15" s="2197"/>
      <c r="V15" s="2197"/>
      <c r="W15" s="2197"/>
      <c r="X15" s="2197"/>
      <c r="Y15" s="2197"/>
      <c r="Z15" s="2197"/>
    </row>
    <row r="16" spans="1:256" ht="12.75">
      <c r="A16" s="1086" t="s">
        <v>672</v>
      </c>
      <c r="B16" s="1087" t="s">
        <v>542</v>
      </c>
      <c r="C16" s="81">
        <f>Drift!P50</f>
        <v>23256.511999999995</v>
      </c>
      <c r="D16" s="82">
        <f>SUM(Motpart!D15:L15)</f>
        <v>2533.8670000000002</v>
      </c>
      <c r="E16" s="85">
        <f>Drift!W50</f>
        <v>7100.1309999999994</v>
      </c>
      <c r="F16" s="82">
        <f>Motpart!Y15</f>
        <v>179.65299999999999</v>
      </c>
      <c r="G16" s="130">
        <f>Drift!V50</f>
        <v>2787.9989999999998</v>
      </c>
      <c r="H16" s="150"/>
      <c r="I16" s="1039" t="s">
        <v>856</v>
      </c>
      <c r="J16" s="1491">
        <v>877466</v>
      </c>
      <c r="K16" s="1394"/>
      <c r="L16" s="1389"/>
      <c r="M16" s="2358">
        <f>(C16-G16-F16)*1000000/J16</f>
        <v>23122.103876389509</v>
      </c>
      <c r="N16" s="2197"/>
      <c r="O16" s="2197"/>
      <c r="P16" s="2197"/>
      <c r="Q16" s="2368" t="s">
        <v>903</v>
      </c>
      <c r="R16" s="2197"/>
      <c r="S16" s="2197"/>
      <c r="T16" s="2197"/>
      <c r="U16" s="2197"/>
      <c r="V16" s="2197"/>
      <c r="W16" s="2197"/>
      <c r="X16" s="2197"/>
      <c r="Y16" s="2197"/>
      <c r="Z16" s="2197"/>
    </row>
    <row r="17" spans="1:256" ht="12.75">
      <c r="A17" s="1081" t="s">
        <v>377</v>
      </c>
      <c r="B17" s="1088" t="s">
        <v>364</v>
      </c>
      <c r="C17" s="364">
        <f>C16-G16-D16</f>
        <v>17934.645999999993</v>
      </c>
      <c r="D17" s="1073"/>
      <c r="E17" s="1074"/>
      <c r="F17" s="1074"/>
      <c r="G17" s="1071"/>
      <c r="H17" s="154" t="s">
        <v>274</v>
      </c>
      <c r="I17" s="1386"/>
      <c r="J17" s="1387"/>
      <c r="K17" s="1388"/>
      <c r="L17" s="1388"/>
      <c r="M17" s="2356">
        <f>C17*1000000/J16</f>
        <v>20439.134963633911</v>
      </c>
      <c r="N17" s="2197"/>
      <c r="O17" s="2197"/>
      <c r="P17" s="2197"/>
      <c r="Q17" s="2367" t="s">
        <v>904</v>
      </c>
      <c r="R17" s="2197"/>
      <c r="S17" s="2197"/>
      <c r="T17" s="2197"/>
      <c r="U17" s="2197"/>
      <c r="V17" s="2197"/>
      <c r="W17" s="2197"/>
      <c r="X17" s="2197"/>
      <c r="Y17" s="2197"/>
      <c r="Z17" s="2197"/>
    </row>
    <row r="18" spans="1:256" ht="12.75">
      <c r="A18" s="1081" t="s">
        <v>378</v>
      </c>
      <c r="B18" s="2061" t="s">
        <v>1139</v>
      </c>
      <c r="C18" s="86">
        <f>Drift!C50+Drift!D50</f>
        <v>12504.333000000001</v>
      </c>
      <c r="D18" s="1073"/>
      <c r="E18" s="1066"/>
      <c r="F18" s="1066"/>
      <c r="G18" s="1071"/>
      <c r="H18" s="152" t="s">
        <v>582</v>
      </c>
      <c r="I18" s="1386"/>
      <c r="J18" s="1387"/>
      <c r="K18" s="1115"/>
      <c r="L18" s="1115"/>
      <c r="M18" s="2356">
        <f>IF(C18=0,0,(C18*100/C17))</f>
        <v>69.721660522320903</v>
      </c>
      <c r="N18" s="2197"/>
      <c r="O18" s="2197"/>
      <c r="P18" s="2197"/>
      <c r="Q18" s="2367" t="s">
        <v>372</v>
      </c>
      <c r="R18" s="2197"/>
      <c r="S18" s="2197"/>
      <c r="T18" s="2197"/>
      <c r="U18" s="2197"/>
      <c r="V18" s="2197"/>
      <c r="W18" s="2197"/>
      <c r="X18" s="2197"/>
      <c r="Y18" s="2197"/>
      <c r="Z18" s="2197"/>
    </row>
    <row r="19" spans="1:256" ht="12.75">
      <c r="A19" s="1081" t="s">
        <v>379</v>
      </c>
      <c r="B19" s="1083" t="s">
        <v>538</v>
      </c>
      <c r="C19" s="2132">
        <v>3039.3209999999999</v>
      </c>
      <c r="D19" s="1073" t="str">
        <f>IF(C16=0,"",IF(OR(C19&lt;=Drift!I50+Drift!J50+Drift!L50,C19&gt;=((Drift!I50+Drift!J50+Drift!L50)*1.5)),"Kontrollera",""))</f>
        <v/>
      </c>
      <c r="E19" s="246">
        <v>34.223999999999997</v>
      </c>
      <c r="F19" s="1068"/>
      <c r="G19" s="267">
        <v>25.312999999999999</v>
      </c>
      <c r="H19" s="150"/>
      <c r="I19" s="1386"/>
      <c r="J19" s="1492"/>
      <c r="K19" s="1111"/>
      <c r="L19" s="1111"/>
      <c r="M19" s="2359">
        <f>(C19-E19)*1000000/J16</f>
        <v>3424.744662471252</v>
      </c>
      <c r="N19" s="2197"/>
      <c r="O19" s="2197"/>
      <c r="P19" s="2197"/>
      <c r="Q19" s="2367" t="s">
        <v>905</v>
      </c>
      <c r="R19" s="2197"/>
      <c r="S19" s="2197"/>
      <c r="T19" s="2197"/>
      <c r="U19" s="2197"/>
      <c r="V19" s="2197"/>
      <c r="W19" s="2197"/>
      <c r="X19" s="2197"/>
      <c r="Y19" s="2197"/>
      <c r="Z19" s="2197"/>
    </row>
    <row r="20" spans="1:256" ht="12.75">
      <c r="A20" s="1081" t="s">
        <v>557</v>
      </c>
      <c r="B20" s="1083" t="s">
        <v>495</v>
      </c>
      <c r="C20" s="1063"/>
      <c r="D20" s="1061"/>
      <c r="E20" s="86">
        <f>Drift!R50</f>
        <v>3112.373</v>
      </c>
      <c r="F20" s="1067"/>
      <c r="G20" s="1253"/>
      <c r="H20" s="424" t="s">
        <v>583</v>
      </c>
      <c r="I20" s="1113"/>
      <c r="J20" s="1387"/>
      <c r="K20" s="1388"/>
      <c r="L20" s="1388"/>
      <c r="M20" s="2356">
        <f>IF(D16=0,0,(Motpart!G15+Motpart!K15)*1000000/J16)</f>
        <v>210.26797619508903</v>
      </c>
      <c r="N20" s="2197"/>
      <c r="O20" s="2197"/>
      <c r="P20" s="2197"/>
      <c r="Q20" s="2367" t="s">
        <v>906</v>
      </c>
      <c r="R20" s="2197"/>
      <c r="S20" s="2197"/>
      <c r="T20" s="2197"/>
      <c r="U20" s="2197"/>
      <c r="V20" s="2197"/>
      <c r="W20" s="2197"/>
      <c r="X20" s="2197"/>
      <c r="Y20" s="2197"/>
      <c r="Z20" s="2197"/>
    </row>
    <row r="21" spans="1:256" ht="12.75">
      <c r="A21" s="1081" t="s">
        <v>558</v>
      </c>
      <c r="B21" s="1083" t="s">
        <v>460</v>
      </c>
      <c r="C21" s="1064"/>
      <c r="D21" s="1061"/>
      <c r="E21" s="246">
        <v>132.45699999999999</v>
      </c>
      <c r="F21" s="1067"/>
      <c r="G21" s="1253"/>
      <c r="H21" s="424" t="s">
        <v>584</v>
      </c>
      <c r="I21" s="1113"/>
      <c r="J21" s="1387"/>
      <c r="K21" s="1388"/>
      <c r="L21" s="1388"/>
      <c r="M21" s="2356">
        <f>IF(F16=0,0,(F16*1000000/J16))</f>
        <v>204.74069650561958</v>
      </c>
      <c r="N21" s="2197"/>
      <c r="O21" s="2197"/>
      <c r="P21" s="2197"/>
      <c r="Q21" s="2367" t="s">
        <v>907</v>
      </c>
      <c r="R21" s="2197"/>
      <c r="S21" s="2197"/>
      <c r="T21" s="2197"/>
      <c r="U21" s="2197"/>
      <c r="V21" s="2197"/>
      <c r="W21" s="2197"/>
      <c r="X21" s="2197"/>
      <c r="Y21" s="2197"/>
      <c r="Z21" s="2197"/>
      <c r="IV21" s="257"/>
    </row>
    <row r="22" spans="1:256" ht="12.75">
      <c r="A22" s="1084" t="s">
        <v>570</v>
      </c>
      <c r="B22" s="1089"/>
      <c r="C22" s="1064"/>
      <c r="D22" s="1062"/>
      <c r="E22" s="1070"/>
      <c r="F22" s="1068"/>
      <c r="G22" s="1253"/>
      <c r="H22" s="424" t="s">
        <v>585</v>
      </c>
      <c r="I22" s="1113"/>
      <c r="J22" s="1387"/>
      <c r="K22" s="1388"/>
      <c r="L22" s="1388"/>
      <c r="M22" s="2356">
        <f>IF(D16=0,0,((Motpart!D15+Motpart!E15+Motpart!F15+Motpart!I15+Motpart!J15)-((Motpart!D15+Motpart!E15+Motpart!F15+Motpart!J15)*0.06))*1000000/J16)</f>
        <v>2519.7468164008633</v>
      </c>
      <c r="N22" s="2197"/>
      <c r="O22" s="2197"/>
      <c r="P22" s="2197"/>
      <c r="Q22" s="2367" t="s">
        <v>908</v>
      </c>
      <c r="R22" s="2197"/>
      <c r="S22" s="2197"/>
      <c r="T22" s="2197"/>
      <c r="U22" s="2197"/>
      <c r="V22" s="2197"/>
      <c r="W22" s="2197"/>
      <c r="X22" s="2197"/>
      <c r="Y22" s="2197"/>
      <c r="Z22" s="2197"/>
      <c r="IV22" s="257"/>
    </row>
    <row r="23" spans="1:256" ht="13.5" thickBot="1">
      <c r="A23" s="1084" t="s">
        <v>559</v>
      </c>
      <c r="B23" s="1089"/>
      <c r="C23" s="1064"/>
      <c r="D23" s="1062"/>
      <c r="E23" s="1062"/>
      <c r="F23" s="1062"/>
      <c r="G23" s="1072"/>
      <c r="H23" s="425"/>
      <c r="I23" s="653"/>
      <c r="J23" s="1493"/>
      <c r="K23" s="1112"/>
      <c r="L23" s="1112"/>
      <c r="M23" s="2360">
        <f>IF(E20=0,0,(E20-E21)*100/C17)</f>
        <v>16.615415771239654</v>
      </c>
      <c r="N23" s="2197"/>
      <c r="O23" s="2197"/>
      <c r="P23" s="2197"/>
      <c r="Q23" s="2369" t="s">
        <v>524</v>
      </c>
      <c r="R23" s="2197"/>
      <c r="S23" s="2197"/>
      <c r="T23" s="2197"/>
      <c r="U23" s="2197"/>
      <c r="V23" s="2197"/>
      <c r="W23" s="2197"/>
      <c r="X23" s="2197"/>
      <c r="Y23" s="2197"/>
      <c r="Z23" s="2197"/>
      <c r="IV23" s="257"/>
    </row>
    <row r="24" spans="1:256" ht="12.75">
      <c r="A24" s="1086" t="s">
        <v>383</v>
      </c>
      <c r="B24" s="1090" t="s">
        <v>543</v>
      </c>
      <c r="C24" s="81">
        <f>Drift!P53</f>
        <v>9451.9309999999987</v>
      </c>
      <c r="D24" s="82">
        <f>SUM(Motpart!D17:L17)</f>
        <v>1184.5340000000001</v>
      </c>
      <c r="E24" s="82">
        <f>Drift!W53</f>
        <v>1698.4580000000001</v>
      </c>
      <c r="F24" s="82">
        <f>Motpart!Y17</f>
        <v>54.692999999999998</v>
      </c>
      <c r="G24" s="130">
        <f>Drift!V53</f>
        <v>1203.7080000000001</v>
      </c>
      <c r="H24" s="166"/>
      <c r="I24" s="1039" t="s">
        <v>857</v>
      </c>
      <c r="J24" s="1491">
        <v>123557</v>
      </c>
      <c r="K24" s="1391"/>
      <c r="L24" s="1389"/>
      <c r="M24" s="2358">
        <f>(C24-G24-F24)*1000000/J24</f>
        <v>66313.766116043596</v>
      </c>
      <c r="N24" s="2197"/>
      <c r="O24" s="2197"/>
      <c r="P24" s="2197"/>
      <c r="Q24" s="2367" t="s">
        <v>897</v>
      </c>
      <c r="R24" s="2197"/>
      <c r="S24" s="2197"/>
      <c r="T24" s="2197"/>
      <c r="U24" s="2197"/>
      <c r="V24" s="2197"/>
      <c r="W24" s="2197"/>
      <c r="X24" s="2197"/>
      <c r="Y24" s="2197"/>
      <c r="Z24" s="2197"/>
    </row>
    <row r="25" spans="1:256" ht="12.75">
      <c r="A25" s="1081" t="s">
        <v>380</v>
      </c>
      <c r="B25" s="1091" t="s">
        <v>364</v>
      </c>
      <c r="C25" s="364">
        <f>C24-G24-D24</f>
        <v>7063.6889999999985</v>
      </c>
      <c r="D25" s="1073"/>
      <c r="E25" s="1074"/>
      <c r="F25" s="1074"/>
      <c r="G25" s="1071"/>
      <c r="H25" s="424" t="s">
        <v>586</v>
      </c>
      <c r="I25" s="1113"/>
      <c r="J25" s="1387"/>
      <c r="K25" s="1388"/>
      <c r="L25" s="1388"/>
      <c r="M25" s="2356">
        <f>C25*1000000/J24</f>
        <v>57169.476435976903</v>
      </c>
      <c r="N25" s="2197"/>
      <c r="O25" s="2197"/>
      <c r="P25" s="2197"/>
      <c r="Q25" s="2367" t="s">
        <v>898</v>
      </c>
      <c r="R25" s="2197"/>
      <c r="S25" s="2197"/>
      <c r="T25" s="2197"/>
      <c r="U25" s="2197"/>
      <c r="V25" s="2197"/>
      <c r="W25" s="2197"/>
      <c r="X25" s="2197"/>
      <c r="Y25" s="2197"/>
      <c r="Z25" s="2197"/>
    </row>
    <row r="26" spans="1:256" ht="12.75">
      <c r="A26" s="1081" t="s">
        <v>381</v>
      </c>
      <c r="B26" s="2062" t="s">
        <v>1139</v>
      </c>
      <c r="C26" s="86">
        <f>Drift!C53+Drift!D53</f>
        <v>4618.8320000000003</v>
      </c>
      <c r="D26" s="1073"/>
      <c r="E26" s="1066"/>
      <c r="F26" s="1066"/>
      <c r="G26" s="1071"/>
      <c r="H26" s="166" t="s">
        <v>383</v>
      </c>
      <c r="I26" s="1113"/>
      <c r="J26" s="1387"/>
      <c r="K26" s="1115"/>
      <c r="L26" s="1115"/>
      <c r="M26" s="2357">
        <f>IF(C26=0,0,C26*100/C25)</f>
        <v>65.388382755809332</v>
      </c>
      <c r="N26" s="2197"/>
      <c r="O26" s="2197"/>
      <c r="P26" s="2197"/>
      <c r="Q26" s="2367" t="s">
        <v>373</v>
      </c>
      <c r="R26" s="2197"/>
      <c r="S26" s="2197"/>
      <c r="T26" s="2197"/>
      <c r="U26" s="2197"/>
      <c r="V26" s="2197"/>
      <c r="W26" s="2197"/>
      <c r="X26" s="2197"/>
      <c r="Y26" s="2197"/>
      <c r="Z26" s="2197"/>
    </row>
    <row r="27" spans="1:256" ht="12.75">
      <c r="A27" s="1084" t="s">
        <v>382</v>
      </c>
      <c r="B27" s="1083" t="s">
        <v>538</v>
      </c>
      <c r="C27" s="2132">
        <v>1533.1010000000001</v>
      </c>
      <c r="D27" s="1073" t="str">
        <f>IF(C24=0,"",IF(OR(C27&lt;=Drift!I53+Drift!J53+Drift!L53,C27&gt;=((Drift!I53+Drift!J53+Drift!L53)*1.5)),"Kontrollera",""))</f>
        <v/>
      </c>
      <c r="E27" s="246">
        <v>19.741</v>
      </c>
      <c r="F27" s="1068"/>
      <c r="G27" s="267">
        <v>15.775</v>
      </c>
      <c r="H27" s="424"/>
      <c r="I27" s="1113"/>
      <c r="J27" s="1206"/>
      <c r="K27" s="1111"/>
      <c r="L27" s="1111"/>
      <c r="M27" s="2356">
        <f>(C27-E27)*1000000/J24</f>
        <v>12248.274075932568</v>
      </c>
      <c r="N27" s="2197"/>
      <c r="O27" s="2197"/>
      <c r="P27" s="2197"/>
      <c r="Q27" s="2367" t="s">
        <v>899</v>
      </c>
      <c r="R27" s="2197"/>
      <c r="S27" s="2197"/>
      <c r="T27" s="2197"/>
      <c r="U27" s="2197"/>
      <c r="V27" s="2197"/>
      <c r="W27" s="2197"/>
      <c r="X27" s="2197"/>
      <c r="Y27" s="2197"/>
      <c r="Z27" s="2197"/>
    </row>
    <row r="28" spans="1:256" ht="12.75">
      <c r="A28" s="1084" t="s">
        <v>560</v>
      </c>
      <c r="B28" s="1092"/>
      <c r="C28" s="1073"/>
      <c r="D28" s="1073"/>
      <c r="E28" s="1073"/>
      <c r="F28" s="1068"/>
      <c r="G28" s="1253"/>
      <c r="H28" s="166" t="s">
        <v>587</v>
      </c>
      <c r="I28" s="1113"/>
      <c r="J28" s="1387"/>
      <c r="K28" s="1388"/>
      <c r="L28" s="1388"/>
      <c r="M28" s="2357">
        <f>(Motpart!G17+Motpart!K17)*1000000/J24</f>
        <v>483.69578413201998</v>
      </c>
      <c r="N28" s="2197"/>
      <c r="O28" s="2197"/>
      <c r="P28" s="2197"/>
      <c r="Q28" s="2367" t="s">
        <v>900</v>
      </c>
      <c r="R28" s="2197"/>
      <c r="S28" s="2197"/>
      <c r="T28" s="2197"/>
      <c r="U28" s="2197"/>
      <c r="V28" s="2197"/>
      <c r="W28" s="2197"/>
      <c r="X28" s="2197"/>
      <c r="Y28" s="2197"/>
      <c r="Z28" s="2197"/>
    </row>
    <row r="29" spans="1:256" ht="12.75">
      <c r="A29" s="1084" t="s">
        <v>561</v>
      </c>
      <c r="B29" s="1093"/>
      <c r="C29" s="1073"/>
      <c r="D29" s="1073"/>
      <c r="E29" s="1073"/>
      <c r="F29" s="1068"/>
      <c r="G29" s="1253"/>
      <c r="H29" s="423" t="s">
        <v>588</v>
      </c>
      <c r="I29" s="1113"/>
      <c r="J29" s="1387"/>
      <c r="K29" s="1388"/>
      <c r="L29" s="1388"/>
      <c r="M29" s="2361">
        <f>F24*1000000/J24</f>
        <v>442.65399775002629</v>
      </c>
      <c r="N29" s="2197"/>
      <c r="O29" s="2197"/>
      <c r="P29" s="2197"/>
      <c r="Q29" s="2367" t="s">
        <v>901</v>
      </c>
      <c r="R29" s="2197"/>
      <c r="S29" s="2197"/>
      <c r="T29" s="2197"/>
      <c r="U29" s="2197"/>
      <c r="V29" s="2197"/>
      <c r="W29" s="2197"/>
      <c r="X29" s="2197"/>
      <c r="Y29" s="2197"/>
      <c r="Z29" s="2197"/>
    </row>
    <row r="30" spans="1:256" ht="13.5" thickBot="1">
      <c r="A30" s="1084" t="s">
        <v>569</v>
      </c>
      <c r="B30" s="1094"/>
      <c r="C30" s="1073"/>
      <c r="D30" s="1073"/>
      <c r="E30" s="1073"/>
      <c r="F30" s="1068"/>
      <c r="G30" s="1254"/>
      <c r="H30" s="426" t="s">
        <v>589</v>
      </c>
      <c r="I30" s="653"/>
      <c r="J30" s="1392"/>
      <c r="K30" s="1393"/>
      <c r="L30" s="1393"/>
      <c r="M30" s="2362">
        <f>(Motpart!D17+Motpart!E17+Motpart!F17+Motpart!I17+Motpart!J17-(Motpart!D17+Motpart!E17+Motpart!F17+Motpart!J17)*0.06)*1000000/J24</f>
        <v>8558.7343493286517</v>
      </c>
      <c r="N30" s="2197"/>
      <c r="O30" s="2197"/>
      <c r="P30" s="2197"/>
      <c r="Q30" s="2369" t="s">
        <v>902</v>
      </c>
      <c r="R30" s="2197"/>
      <c r="S30" s="2197"/>
      <c r="T30" s="2197"/>
      <c r="U30" s="2197"/>
      <c r="V30" s="2197"/>
      <c r="W30" s="2197"/>
      <c r="X30" s="2197"/>
      <c r="Y30" s="2197"/>
      <c r="Z30" s="2197"/>
    </row>
    <row r="31" spans="1:256" ht="12.75">
      <c r="A31" s="1086" t="s">
        <v>395</v>
      </c>
      <c r="B31" s="1095" t="s">
        <v>544</v>
      </c>
      <c r="C31" s="81">
        <f>Drift!P54</f>
        <v>153540.19999999998</v>
      </c>
      <c r="D31" s="82">
        <f>SUM(Motpart!D18:L18)</f>
        <v>20797.413</v>
      </c>
      <c r="E31" s="82">
        <f>Drift!W54</f>
        <v>30470.014000000003</v>
      </c>
      <c r="F31" s="82">
        <f>Motpart!Y18</f>
        <v>1538.0360000000001</v>
      </c>
      <c r="G31" s="130">
        <f>Drift!V54</f>
        <v>16074.289000000001</v>
      </c>
      <c r="H31" s="427"/>
      <c r="I31" s="1039" t="s">
        <v>858</v>
      </c>
      <c r="J31" s="1491">
        <v>1123982</v>
      </c>
      <c r="K31" s="1389"/>
      <c r="L31" s="1389"/>
      <c r="M31" s="2363">
        <f>SUM(M32:M34,M36:M38)</f>
        <v>100130.42112774047</v>
      </c>
      <c r="N31" s="2197"/>
      <c r="O31" s="2197"/>
      <c r="P31" s="2197"/>
      <c r="Q31" s="2367" t="s">
        <v>885</v>
      </c>
      <c r="R31" s="2197"/>
      <c r="S31" s="2197"/>
      <c r="T31" s="2197"/>
      <c r="U31" s="2197"/>
      <c r="V31" s="2197"/>
      <c r="W31" s="2197"/>
      <c r="X31" s="2197"/>
      <c r="Y31" s="2197"/>
      <c r="Z31" s="2197"/>
    </row>
    <row r="32" spans="1:256" ht="12.75">
      <c r="A32" s="1081" t="s">
        <v>384</v>
      </c>
      <c r="B32" s="1096" t="s">
        <v>504</v>
      </c>
      <c r="C32" s="268">
        <v>68883.982999999993</v>
      </c>
      <c r="D32" s="1073"/>
      <c r="E32" s="246">
        <v>5716.5519999999997</v>
      </c>
      <c r="F32" s="1074"/>
      <c r="G32" s="267">
        <v>5544.2380000000003</v>
      </c>
      <c r="H32" s="152" t="s">
        <v>590</v>
      </c>
      <c r="I32" s="1956"/>
      <c r="J32" s="1957"/>
      <c r="K32" s="1957"/>
      <c r="L32" s="2346"/>
      <c r="M32" s="2356">
        <f>(C32-E32)*1000000/J31</f>
        <v>56199.682023377602</v>
      </c>
      <c r="N32" s="2197"/>
      <c r="O32" s="2197"/>
      <c r="P32" s="2197"/>
      <c r="Q32" s="2367" t="s">
        <v>886</v>
      </c>
      <c r="R32" s="2197"/>
      <c r="S32" s="2197"/>
      <c r="T32" s="2197"/>
      <c r="U32" s="2197"/>
      <c r="V32" s="2197"/>
      <c r="W32" s="2197"/>
      <c r="X32" s="2197"/>
      <c r="Y32" s="2197"/>
      <c r="Z32" s="2197"/>
    </row>
    <row r="33" spans="1:26" ht="12.75">
      <c r="A33" s="1081" t="s">
        <v>385</v>
      </c>
      <c r="B33" s="1096" t="s">
        <v>846</v>
      </c>
      <c r="C33" s="268">
        <v>5057.51</v>
      </c>
      <c r="D33" s="1073"/>
      <c r="E33" s="246">
        <v>138.69</v>
      </c>
      <c r="F33" s="1066"/>
      <c r="G33" s="267">
        <v>97.742999999999995</v>
      </c>
      <c r="H33" s="152" t="s">
        <v>591</v>
      </c>
      <c r="I33" s="1386"/>
      <c r="J33" s="1387"/>
      <c r="K33" s="1115"/>
      <c r="L33" s="1115"/>
      <c r="M33" s="2356">
        <f>(C33-E33)*1000000/J31</f>
        <v>4376.2444594308454</v>
      </c>
      <c r="N33" s="2197"/>
      <c r="O33" s="2197"/>
      <c r="P33" s="2197"/>
      <c r="Q33" s="2367" t="s">
        <v>887</v>
      </c>
      <c r="R33" s="2197"/>
      <c r="S33" s="2197"/>
      <c r="T33" s="2197"/>
      <c r="U33" s="2197"/>
      <c r="V33" s="2197"/>
      <c r="W33" s="2197"/>
      <c r="X33" s="2197"/>
      <c r="Y33" s="2197"/>
      <c r="Z33" s="2197"/>
    </row>
    <row r="34" spans="1:26" ht="12.75">
      <c r="A34" s="1081" t="s">
        <v>386</v>
      </c>
      <c r="B34" s="1096" t="s">
        <v>522</v>
      </c>
      <c r="C34" s="268">
        <v>6977.3249999999998</v>
      </c>
      <c r="D34" s="1073"/>
      <c r="E34" s="246">
        <v>774.84100000000001</v>
      </c>
      <c r="F34" s="1066"/>
      <c r="G34" s="267">
        <v>645.31100000000004</v>
      </c>
      <c r="H34" s="152"/>
      <c r="I34" s="1386"/>
      <c r="J34" s="1206"/>
      <c r="K34" s="1111"/>
      <c r="L34" s="1111"/>
      <c r="M34" s="2356">
        <f>(C34-E34)*1000000/J31</f>
        <v>5518.3125708418811</v>
      </c>
      <c r="N34" s="2197"/>
      <c r="O34" s="2197"/>
      <c r="P34" s="2197"/>
      <c r="Q34" s="2367" t="s">
        <v>888</v>
      </c>
      <c r="R34" s="2197"/>
      <c r="S34" s="2197"/>
      <c r="T34" s="2197"/>
      <c r="U34" s="2197"/>
      <c r="V34" s="2197"/>
      <c r="W34" s="2197"/>
      <c r="X34" s="2197"/>
      <c r="Y34" s="2197"/>
      <c r="Z34" s="2197"/>
    </row>
    <row r="35" spans="1:26" ht="12.75">
      <c r="A35" s="1081" t="s">
        <v>387</v>
      </c>
      <c r="B35" s="1096" t="s">
        <v>502</v>
      </c>
      <c r="C35" s="268">
        <v>3662.2240000000002</v>
      </c>
      <c r="D35" s="1073" t="str">
        <f>IF(C31=0,"",IF(OR(C35=0,C35=""),"Kontrollera",""))</f>
        <v/>
      </c>
      <c r="E35" s="246">
        <v>28.574999999999999</v>
      </c>
      <c r="F35" s="1066"/>
      <c r="G35" s="267">
        <v>12.073</v>
      </c>
      <c r="H35" s="152" t="s">
        <v>592</v>
      </c>
      <c r="I35" s="836"/>
      <c r="J35" s="1387"/>
      <c r="K35" s="1388"/>
      <c r="L35" s="1388"/>
      <c r="M35" s="2356">
        <f>(C35-E35)*1000000/J31</f>
        <v>3232.8355792174611</v>
      </c>
      <c r="N35" s="2197"/>
      <c r="O35" s="2197"/>
      <c r="P35" s="2197"/>
      <c r="Q35" s="2367" t="s">
        <v>889</v>
      </c>
      <c r="R35" s="2197"/>
      <c r="S35" s="2197"/>
      <c r="T35" s="2197"/>
      <c r="U35" s="2197"/>
      <c r="V35" s="2197"/>
      <c r="W35" s="2197"/>
      <c r="X35" s="2197"/>
      <c r="Y35" s="2197"/>
      <c r="Z35" s="2197"/>
    </row>
    <row r="36" spans="1:26" ht="15" customHeight="1">
      <c r="A36" s="1081" t="s">
        <v>388</v>
      </c>
      <c r="B36" s="1097" t="s">
        <v>758</v>
      </c>
      <c r="C36" s="268">
        <v>4017.6660000000002</v>
      </c>
      <c r="D36" s="1073"/>
      <c r="E36" s="246">
        <v>144.05600000000001</v>
      </c>
      <c r="F36" s="1065"/>
      <c r="G36" s="267">
        <v>104.17</v>
      </c>
      <c r="H36" s="152" t="s">
        <v>593</v>
      </c>
      <c r="I36" s="1963"/>
      <c r="J36" s="1387"/>
      <c r="K36" s="1388"/>
      <c r="L36" s="1388"/>
      <c r="M36" s="2356">
        <f>(C36-E36)*1000000/J31</f>
        <v>3446.327432289841</v>
      </c>
      <c r="N36" s="2197"/>
      <c r="O36" s="2197"/>
      <c r="P36" s="2197"/>
      <c r="Q36" s="2367" t="s">
        <v>890</v>
      </c>
      <c r="R36" s="2197"/>
      <c r="S36" s="2197"/>
      <c r="T36" s="2197"/>
      <c r="U36" s="2197"/>
      <c r="V36" s="2197"/>
      <c r="W36" s="2197"/>
      <c r="X36" s="2197"/>
      <c r="Y36" s="2197"/>
      <c r="Z36" s="2197"/>
    </row>
    <row r="37" spans="1:26" s="204" customFormat="1" ht="12.75">
      <c r="A37" s="1081" t="s">
        <v>239</v>
      </c>
      <c r="B37" s="1098" t="s">
        <v>539</v>
      </c>
      <c r="C37" s="268">
        <v>19308.572</v>
      </c>
      <c r="D37" s="1073" t="str">
        <f>IF(C31=0,"",IF(OR(C37&lt;=Drift!I54+Drift!J54+Drift!L54,C37&gt;=((Drift!I54+Drift!J54+Drift!L54)*1.5)),"Kontrollera",""))</f>
        <v/>
      </c>
      <c r="E37" s="246">
        <v>593.18499999999995</v>
      </c>
      <c r="F37" s="993"/>
      <c r="G37" s="267">
        <v>502.30799999999999</v>
      </c>
      <c r="H37" s="167" t="s">
        <v>594</v>
      </c>
      <c r="I37" s="1964"/>
      <c r="J37" s="1387"/>
      <c r="K37" s="1388"/>
      <c r="L37" s="1388"/>
      <c r="M37" s="2356">
        <f>(C37-E37)*1000000/J31</f>
        <v>16650.966830429668</v>
      </c>
      <c r="N37" s="2197"/>
      <c r="O37" s="2197"/>
      <c r="P37" s="2197"/>
      <c r="Q37" s="2367" t="s">
        <v>891</v>
      </c>
      <c r="R37" s="2197"/>
      <c r="S37" s="2197"/>
      <c r="T37" s="2197"/>
      <c r="U37" s="2197"/>
      <c r="V37" s="2197"/>
      <c r="W37" s="2197"/>
      <c r="X37" s="2197"/>
      <c r="Y37" s="2197"/>
      <c r="Z37" s="2197"/>
    </row>
    <row r="38" spans="1:26" s="204" customFormat="1" ht="12.75" customHeight="1">
      <c r="A38" s="1081" t="s">
        <v>389</v>
      </c>
      <c r="B38" s="1096" t="s">
        <v>455</v>
      </c>
      <c r="C38" s="268">
        <v>20352.326000000001</v>
      </c>
      <c r="D38" s="1073"/>
      <c r="E38" s="246">
        <v>20410.821</v>
      </c>
      <c r="F38" s="993"/>
      <c r="G38" s="267">
        <v>9168.4459999999999</v>
      </c>
      <c r="H38" s="152"/>
      <c r="I38" s="2562" t="str">
        <f>IF(SUM(E38-G38+100)&lt;Motpart!AA18,"I Motparten är statsbidragen "&amp;""&amp;(Motpart!AA18)&amp;" tkr. Alla bidrag från staten o statliga myndigheter, inklusive de från Migrationsverket, ska ingå under Övrigt som extern intäkt. De externa intäkterna på Övrigt-raden är dock bara "&amp;""&amp;(ROUND(E38-G38,0))&amp;" tkr. ","")</f>
        <v/>
      </c>
      <c r="J38" s="1960"/>
      <c r="K38" s="1960"/>
      <c r="L38" s="2347"/>
      <c r="M38" s="2356">
        <f>((C38+C39-G38)*1000000/J31)</f>
        <v>13938.887811370647</v>
      </c>
      <c r="N38" s="2197"/>
      <c r="O38" s="2197"/>
      <c r="P38" s="2197"/>
      <c r="Q38" s="2367" t="s">
        <v>892</v>
      </c>
      <c r="R38" s="2197"/>
      <c r="S38" s="2197"/>
      <c r="T38" s="2197"/>
      <c r="U38" s="2197"/>
      <c r="V38" s="2197"/>
      <c r="W38" s="2197"/>
      <c r="X38" s="2197"/>
      <c r="Y38" s="2197"/>
      <c r="Z38" s="2197"/>
    </row>
    <row r="39" spans="1:26" s="204" customFormat="1" ht="12.75">
      <c r="A39" s="1081" t="s">
        <v>390</v>
      </c>
      <c r="B39" s="1099" t="s">
        <v>503</v>
      </c>
      <c r="C39" s="268">
        <v>4483.1790000000001</v>
      </c>
      <c r="D39" s="2176" t="str">
        <f>IF(OR(C39 &gt; SUM(Drift!N54+Drift!O54+100), C39 &lt; SUM(Drift!N54+Drift!O54-100)),"Fördelad gemensam verksamhet skiljer sig mot Driftfliken.","")</f>
        <v/>
      </c>
      <c r="E39" s="995"/>
      <c r="F39" s="995"/>
      <c r="G39" s="1075"/>
      <c r="H39" s="166"/>
      <c r="I39" s="2563"/>
      <c r="J39" s="1961"/>
      <c r="K39" s="1961"/>
      <c r="L39" s="2348"/>
      <c r="M39" s="2357">
        <f>(M31*J31/1000000+D31-F31-(Motpart!D18+Motpart!E18+Motpart!F18+Motpart!J18)*0.06)*1000000/J31+M35</f>
        <v>119497.07584285154</v>
      </c>
      <c r="N39" s="2197"/>
      <c r="O39" s="2197"/>
      <c r="P39" s="2197"/>
      <c r="Q39" s="2367" t="s">
        <v>893</v>
      </c>
      <c r="R39" s="2197"/>
      <c r="S39" s="2197"/>
      <c r="T39" s="2197"/>
      <c r="U39" s="2197"/>
      <c r="V39" s="2197"/>
      <c r="W39" s="2197"/>
      <c r="X39" s="2197"/>
      <c r="Y39" s="2197"/>
      <c r="Z39" s="2197"/>
    </row>
    <row r="40" spans="1:26" ht="12.75">
      <c r="A40" s="1100" t="s">
        <v>562</v>
      </c>
      <c r="B40" s="1101" t="s">
        <v>129</v>
      </c>
      <c r="C40" s="1250">
        <f>(C31-SUM(C32:C39)-D31)*-1</f>
        <v>-2.0000000076834112E-3</v>
      </c>
      <c r="D40" s="1062"/>
      <c r="E40" s="1251">
        <f>(E31-SUM(E32:E38)-F31-SUM(Motpart!D18+Motpart!E18+Motpart!F18+Motpart!J18)*0.06)*-1</f>
        <v>-3.3000000016727427E-3</v>
      </c>
      <c r="F40" s="1062"/>
      <c r="G40" s="1252">
        <f>(G31-SUM(G32:G38))*-1</f>
        <v>0</v>
      </c>
      <c r="H40" s="154"/>
      <c r="I40" s="2563"/>
      <c r="J40" s="1961"/>
      <c r="K40" s="1961"/>
      <c r="L40" s="2348"/>
      <c r="M40" s="2356">
        <f>(Motpart!G18+Motpart!K18)*1000000/J31</f>
        <v>1446.1308099240023</v>
      </c>
      <c r="N40" s="2197"/>
      <c r="O40" s="2197"/>
      <c r="P40" s="2197"/>
      <c r="Q40" s="2367" t="s">
        <v>894</v>
      </c>
      <c r="R40" s="2197"/>
      <c r="S40" s="2197"/>
      <c r="T40" s="2197"/>
      <c r="U40" s="2197"/>
      <c r="V40" s="2197"/>
      <c r="W40" s="2197"/>
      <c r="X40" s="2197"/>
      <c r="Y40" s="2197"/>
      <c r="Z40" s="2197"/>
    </row>
    <row r="41" spans="1:26" ht="12.75">
      <c r="A41" s="1100" t="s">
        <v>563</v>
      </c>
      <c r="B41" s="1101"/>
      <c r="C41" s="1064"/>
      <c r="D41" s="1062"/>
      <c r="E41" s="1062"/>
      <c r="F41" s="1062"/>
      <c r="G41" s="1072"/>
      <c r="H41" s="154"/>
      <c r="I41" s="2563"/>
      <c r="J41" s="1961"/>
      <c r="K41" s="1961"/>
      <c r="L41" s="2348"/>
      <c r="M41" s="2357">
        <f>F31*1000000/J31</f>
        <v>1368.3813441852271</v>
      </c>
      <c r="N41" s="2197"/>
      <c r="O41" s="2197"/>
      <c r="P41" s="2197"/>
      <c r="Q41" s="2367" t="s">
        <v>895</v>
      </c>
      <c r="R41" s="2197"/>
      <c r="S41" s="2197"/>
      <c r="T41" s="2197"/>
      <c r="U41" s="2197"/>
      <c r="V41" s="2197"/>
      <c r="W41" s="2197"/>
      <c r="X41" s="2197"/>
      <c r="Y41" s="2197"/>
      <c r="Z41" s="2197"/>
    </row>
    <row r="42" spans="1:26" ht="12.75">
      <c r="A42" s="1081" t="s">
        <v>564</v>
      </c>
      <c r="B42" s="1099"/>
      <c r="C42" s="1064"/>
      <c r="D42" s="1062"/>
      <c r="E42" s="1062"/>
      <c r="F42" s="1062"/>
      <c r="G42" s="1072"/>
      <c r="H42" s="154"/>
      <c r="I42" s="2563"/>
      <c r="J42" s="1962"/>
      <c r="K42" s="1962"/>
      <c r="L42" s="2349"/>
      <c r="M42" s="2361">
        <f>((Motpart!D18+Motpart!E18+Motpart!F18+Motpart!J18-(Motpart!D18+Motpart!E18+Motpart!F18+Motpart!J18)*0.06))*1000000/J31</f>
        <v>15684.406244939863</v>
      </c>
      <c r="N42" s="2197"/>
      <c r="O42" s="2197"/>
      <c r="P42" s="2197"/>
      <c r="Q42" s="2367" t="s">
        <v>896</v>
      </c>
      <c r="R42" s="2197"/>
      <c r="S42" s="2197"/>
      <c r="T42" s="2197"/>
      <c r="U42" s="2197"/>
      <c r="V42" s="2197"/>
      <c r="W42" s="2197"/>
      <c r="X42" s="2197"/>
      <c r="Y42" s="2197"/>
      <c r="Z42" s="2197"/>
    </row>
    <row r="43" spans="1:26" ht="13.5" thickBot="1">
      <c r="A43" s="1102"/>
      <c r="B43" s="1103"/>
      <c r="C43" s="1824" t="str">
        <f>IF(ABS(C40)&lt;100,"",IF(C31=0,"C31",IF(ABS(C40/C31)&gt;0.01,"C40")))</f>
        <v/>
      </c>
      <c r="D43" s="1825"/>
      <c r="E43" s="1822" t="str">
        <f>IF(ABS(E40)&lt;100,"",IF(E31=0,"E31",IF(ABS(E40/E31)&gt;0.01,"E40")))</f>
        <v/>
      </c>
      <c r="F43" s="1825"/>
      <c r="G43" s="1826" t="str">
        <f>IF(ABS(G40)&lt;100,"",IF(G31=0,"G31",IF(ABS(G40/G31)&gt;0.01,"G40")))</f>
        <v/>
      </c>
      <c r="H43" s="153"/>
      <c r="I43" s="1114"/>
      <c r="J43" s="1493"/>
      <c r="K43" s="1112"/>
      <c r="L43" s="1112"/>
      <c r="M43" s="2362"/>
      <c r="N43" s="2197"/>
      <c r="O43" s="2197"/>
      <c r="P43" s="2197"/>
      <c r="Q43" s="2369" t="s">
        <v>505</v>
      </c>
      <c r="R43" s="2197"/>
      <c r="S43" s="2197"/>
      <c r="T43" s="2197"/>
      <c r="U43" s="2197"/>
      <c r="V43" s="2197"/>
      <c r="W43" s="2197"/>
      <c r="X43" s="2197"/>
      <c r="Y43" s="2197"/>
      <c r="Z43" s="2197"/>
    </row>
    <row r="44" spans="1:26" ht="12.75">
      <c r="A44" s="1086" t="s">
        <v>396</v>
      </c>
      <c r="B44" s="1095" t="s">
        <v>581</v>
      </c>
      <c r="C44" s="81">
        <f>Drift!P55</f>
        <v>7755.4439999999995</v>
      </c>
      <c r="D44" s="82">
        <f>SUM(Motpart!D19:L19)</f>
        <v>685.78899999999987</v>
      </c>
      <c r="E44" s="82">
        <f>Drift!W55</f>
        <v>1230.0419999999999</v>
      </c>
      <c r="F44" s="82">
        <f>Motpart!Y19</f>
        <v>318.96499999999997</v>
      </c>
      <c r="G44" s="130">
        <f>Drift!V55</f>
        <v>719.55700000000002</v>
      </c>
      <c r="H44" s="156"/>
      <c r="I44" s="1390" t="s">
        <v>858</v>
      </c>
      <c r="J44" s="1491">
        <v>1123982</v>
      </c>
      <c r="K44" s="1391"/>
      <c r="L44" s="1389"/>
      <c r="M44" s="2357">
        <f>SUM(M45:M47,M49:M51)</f>
        <v>5001.1708372554003</v>
      </c>
      <c r="N44" s="2197"/>
      <c r="O44" s="2197"/>
      <c r="P44" s="2197"/>
      <c r="Q44" s="2367" t="s">
        <v>885</v>
      </c>
      <c r="R44" s="2197"/>
      <c r="S44" s="2197"/>
      <c r="T44" s="2197"/>
      <c r="U44" s="2197"/>
      <c r="V44" s="2197"/>
      <c r="W44" s="2197"/>
      <c r="X44" s="2197"/>
      <c r="Y44" s="2197"/>
      <c r="Z44" s="2197"/>
    </row>
    <row r="45" spans="1:26" ht="12.75">
      <c r="A45" s="1081" t="s">
        <v>391</v>
      </c>
      <c r="B45" s="1096" t="s">
        <v>504</v>
      </c>
      <c r="C45" s="268">
        <v>3345.5940000000001</v>
      </c>
      <c r="D45" s="1073"/>
      <c r="E45" s="246">
        <v>248.113</v>
      </c>
      <c r="F45" s="1066"/>
      <c r="G45" s="267">
        <v>242.471</v>
      </c>
      <c r="H45" s="150" t="s">
        <v>595</v>
      </c>
      <c r="I45" s="1386"/>
      <c r="J45" s="1387"/>
      <c r="K45" s="1388"/>
      <c r="L45" s="1388"/>
      <c r="M45" s="2361">
        <f>(C45-E45)*1000000/J44</f>
        <v>2755.8101464258325</v>
      </c>
      <c r="N45" s="2197"/>
      <c r="O45" s="2197"/>
      <c r="P45" s="2197"/>
      <c r="Q45" s="2367" t="s">
        <v>924</v>
      </c>
      <c r="R45" s="2197"/>
      <c r="S45" s="2197"/>
      <c r="T45" s="2197"/>
      <c r="U45" s="2197"/>
      <c r="V45" s="2197"/>
      <c r="W45" s="2197"/>
      <c r="X45" s="2197"/>
      <c r="Y45" s="2197"/>
      <c r="Z45" s="2197"/>
    </row>
    <row r="46" spans="1:26" ht="12.75">
      <c r="A46" s="1081" t="s">
        <v>397</v>
      </c>
      <c r="B46" s="1096" t="s">
        <v>846</v>
      </c>
      <c r="C46" s="268">
        <v>109.072</v>
      </c>
      <c r="D46" s="1073"/>
      <c r="E46" s="246">
        <v>2.4620000000000002</v>
      </c>
      <c r="F46" s="1066"/>
      <c r="G46" s="267">
        <v>1.774</v>
      </c>
      <c r="H46" s="154" t="s">
        <v>596</v>
      </c>
      <c r="I46" s="1386"/>
      <c r="J46" s="1387"/>
      <c r="K46" s="1115"/>
      <c r="L46" s="1115"/>
      <c r="M46" s="2361">
        <f>(C46-E46)*1000000/J44</f>
        <v>94.850273402954855</v>
      </c>
      <c r="N46" s="2197"/>
      <c r="O46" s="2197"/>
      <c r="P46" s="2197"/>
      <c r="Q46" s="2367" t="s">
        <v>925</v>
      </c>
      <c r="R46" s="2197"/>
      <c r="S46" s="2197"/>
      <c r="T46" s="2197"/>
      <c r="U46" s="2197"/>
      <c r="V46" s="2197"/>
      <c r="W46" s="2197"/>
      <c r="X46" s="2197"/>
      <c r="Y46" s="2197"/>
      <c r="Z46" s="2197"/>
    </row>
    <row r="47" spans="1:26" ht="12.75">
      <c r="A47" s="1081" t="s">
        <v>398</v>
      </c>
      <c r="B47" s="1096" t="s">
        <v>522</v>
      </c>
      <c r="C47" s="268">
        <v>101.583</v>
      </c>
      <c r="D47" s="1073"/>
      <c r="E47" s="246">
        <v>6.4489999999999998</v>
      </c>
      <c r="F47" s="1065"/>
      <c r="G47" s="267">
        <v>4.1319999999999997</v>
      </c>
      <c r="H47" s="154"/>
      <c r="I47" s="1386"/>
      <c r="J47" s="1492"/>
      <c r="K47" s="1111"/>
      <c r="L47" s="1111"/>
      <c r="M47" s="2361">
        <f>(C47-E47)*1000000/J44</f>
        <v>84.640145482756836</v>
      </c>
      <c r="N47" s="2197"/>
      <c r="O47" s="2197"/>
      <c r="P47" s="2197"/>
      <c r="Q47" s="2367" t="s">
        <v>926</v>
      </c>
      <c r="R47" s="2197"/>
      <c r="S47" s="2197"/>
      <c r="T47" s="2197"/>
      <c r="U47" s="2197"/>
      <c r="V47" s="2197"/>
      <c r="W47" s="2197"/>
      <c r="X47" s="2197"/>
      <c r="Y47" s="2197"/>
      <c r="Z47" s="2197"/>
    </row>
    <row r="48" spans="1:26" ht="12.75">
      <c r="A48" s="1081" t="s">
        <v>392</v>
      </c>
      <c r="B48" s="1096" t="s">
        <v>502</v>
      </c>
      <c r="C48" s="268">
        <v>719.36099999999999</v>
      </c>
      <c r="D48" s="1073" t="str">
        <f>IF(C44=0,"",IF(OR(C48=0,C48=""),"Kontrollera",""))</f>
        <v/>
      </c>
      <c r="E48" s="246">
        <v>3.802</v>
      </c>
      <c r="F48" s="993"/>
      <c r="G48" s="267">
        <v>0.41499999999999998</v>
      </c>
      <c r="H48" s="152" t="s">
        <v>597</v>
      </c>
      <c r="I48" s="1386"/>
      <c r="J48" s="1387"/>
      <c r="K48" s="1388"/>
      <c r="L48" s="1388"/>
      <c r="M48" s="2361">
        <f>(C48-E48)*1000000/J44</f>
        <v>636.62852252082325</v>
      </c>
      <c r="N48" s="2197"/>
      <c r="O48" s="2197"/>
      <c r="P48" s="2197"/>
      <c r="Q48" s="2367" t="s">
        <v>927</v>
      </c>
      <c r="R48" s="2197"/>
      <c r="S48" s="2197"/>
      <c r="T48" s="2197"/>
      <c r="U48" s="2197"/>
      <c r="V48" s="2197"/>
      <c r="W48" s="2197"/>
      <c r="X48" s="2197"/>
      <c r="Y48" s="2197"/>
      <c r="Z48" s="2197"/>
    </row>
    <row r="49" spans="1:26" ht="12.75">
      <c r="A49" s="1081" t="s">
        <v>399</v>
      </c>
      <c r="B49" s="1097" t="s">
        <v>758</v>
      </c>
      <c r="C49" s="268">
        <v>101.99</v>
      </c>
      <c r="D49" s="1073"/>
      <c r="E49" s="246">
        <v>2.0960000000000001</v>
      </c>
      <c r="F49" s="1076"/>
      <c r="G49" s="267">
        <v>1.4</v>
      </c>
      <c r="H49" s="154" t="s">
        <v>598</v>
      </c>
      <c r="I49" s="1386"/>
      <c r="J49" s="1387"/>
      <c r="K49" s="1388"/>
      <c r="L49" s="1388"/>
      <c r="M49" s="2361">
        <f>(C49-E49)*1000000/J44</f>
        <v>88.875088746972807</v>
      </c>
      <c r="N49" s="2197"/>
      <c r="O49" s="2197"/>
      <c r="P49" s="2197"/>
      <c r="Q49" s="2367" t="s">
        <v>928</v>
      </c>
      <c r="R49" s="2197"/>
      <c r="S49" s="2197"/>
      <c r="T49" s="2197"/>
      <c r="U49" s="2197"/>
      <c r="V49" s="2197"/>
      <c r="W49" s="2197"/>
      <c r="X49" s="2197"/>
      <c r="Y49" s="2197"/>
      <c r="Z49" s="2197"/>
    </row>
    <row r="50" spans="1:26" ht="12.75">
      <c r="A50" s="1081" t="s">
        <v>400</v>
      </c>
      <c r="B50" s="1098" t="s">
        <v>539</v>
      </c>
      <c r="C50" s="268">
        <v>597.21199999999999</v>
      </c>
      <c r="D50" s="1073" t="str">
        <f>IF(C44=0,"",IF(OR(C50&lt;=Drift!I55+Drift!J55+Drift!L55,C50&gt;=((Drift!I55+Drift!J55+Drift!L55)*1.5)),"Kontrollera",""))</f>
        <v/>
      </c>
      <c r="E50" s="246">
        <v>6.2510000000000003</v>
      </c>
      <c r="F50" s="1065"/>
      <c r="G50" s="267">
        <v>5.657</v>
      </c>
      <c r="H50" s="152" t="s">
        <v>599</v>
      </c>
      <c r="I50" s="1386"/>
      <c r="J50" s="1387"/>
      <c r="K50" s="1388"/>
      <c r="L50" s="1388"/>
      <c r="M50" s="2361">
        <f>(C50-E50)*1000000/J44</f>
        <v>525.77443411015474</v>
      </c>
      <c r="N50" s="2197"/>
      <c r="O50" s="2197"/>
      <c r="P50" s="2197"/>
      <c r="Q50" s="2367" t="s">
        <v>929</v>
      </c>
      <c r="R50" s="2197"/>
      <c r="S50" s="2197"/>
      <c r="T50" s="2197"/>
      <c r="U50" s="2197"/>
      <c r="V50" s="2197"/>
      <c r="W50" s="2197"/>
      <c r="X50" s="2197"/>
      <c r="Y50" s="2197"/>
      <c r="Z50" s="2197"/>
    </row>
    <row r="51" spans="1:26" ht="12.75">
      <c r="A51" s="1081" t="s">
        <v>401</v>
      </c>
      <c r="B51" s="1096" t="s">
        <v>455</v>
      </c>
      <c r="C51" s="268">
        <v>1863.299</v>
      </c>
      <c r="D51" s="1311"/>
      <c r="E51" s="246">
        <v>620.59900000000005</v>
      </c>
      <c r="F51" s="1065"/>
      <c r="G51" s="267">
        <v>463.70800000000003</v>
      </c>
      <c r="H51" s="150" t="s">
        <v>600</v>
      </c>
      <c r="I51" s="2564" t="str">
        <f>IF(SUM(E51-G51+100)&lt;Motpart!AA19,"I Motparten är statsbidragen "&amp;""&amp;(Motpart!AA19)&amp;" tkr. Alla bidrag från staten o statliga myndigheter, inklusive de från Migrationsverket, ska ingå under Övrigt som extern intäkt. De externa intäkterna på Övrigt-raden är dock bara "&amp;""&amp;(ROUND(E51-G51,0))&amp;" tkr. ","")</f>
        <v/>
      </c>
      <c r="J51" s="1964"/>
      <c r="K51" s="1964"/>
      <c r="L51" s="2350"/>
      <c r="M51" s="2361">
        <f>(C51+C52-G51)*1000000/J44</f>
        <v>1451.220749086729</v>
      </c>
      <c r="N51" s="2197"/>
      <c r="O51" s="2197"/>
      <c r="P51" s="2197"/>
      <c r="Q51" s="2367" t="s">
        <v>930</v>
      </c>
      <c r="R51" s="2197"/>
      <c r="S51" s="2197"/>
      <c r="T51" s="2197"/>
      <c r="U51" s="2197"/>
      <c r="V51" s="2197"/>
      <c r="W51" s="2197"/>
      <c r="X51" s="2197"/>
      <c r="Y51" s="2197"/>
      <c r="Z51" s="2197"/>
    </row>
    <row r="52" spans="1:26" ht="12.75">
      <c r="A52" s="1081" t="s">
        <v>402</v>
      </c>
      <c r="B52" s="1099" t="s">
        <v>465</v>
      </c>
      <c r="C52" s="268">
        <v>231.55500000000001</v>
      </c>
      <c r="D52" s="2177" t="str">
        <f>IF(OR(C52 &gt; SUM(Drift!N55+Drift!O55+100), C52 &lt; SUM(Drift!N55+Drift!O55-100)),"Fördelad gemensam verksamhet skiljer sig mot Driftfliken.","")</f>
        <v/>
      </c>
      <c r="E52" s="1073"/>
      <c r="F52" s="1073"/>
      <c r="G52" s="1075"/>
      <c r="H52" s="154"/>
      <c r="I52" s="2561"/>
      <c r="J52" s="1964"/>
      <c r="K52" s="1964"/>
      <c r="L52" s="2350"/>
      <c r="M52" s="2356">
        <f>((M44*J44/1000000+D44-F44-(Motpart!D19+Motpart!E19+Motpart!F19+Motpart!J19)*0.06))*1000000/J44+M48</f>
        <v>5945.1979124220843</v>
      </c>
      <c r="N52" s="2197"/>
      <c r="O52" s="2197"/>
      <c r="P52" s="2197"/>
      <c r="Q52" s="2367" t="s">
        <v>931</v>
      </c>
      <c r="R52" s="2197"/>
      <c r="S52" s="2197"/>
      <c r="T52" s="2197"/>
      <c r="U52" s="2197"/>
      <c r="V52" s="2197"/>
      <c r="W52" s="2197"/>
      <c r="X52" s="2197"/>
      <c r="Y52" s="2197"/>
      <c r="Z52" s="2197"/>
    </row>
    <row r="53" spans="1:26" ht="12.75">
      <c r="A53" s="1102" t="s">
        <v>565</v>
      </c>
      <c r="B53" s="1099" t="s">
        <v>129</v>
      </c>
      <c r="C53" s="1250">
        <f>(C44-SUM(C45:C52)-D44)*-1</f>
        <v>1.1000000000535692E-2</v>
      </c>
      <c r="D53" s="1073"/>
      <c r="E53" s="1251">
        <f>(E44-SUM(E45:E51)-F44-SUM(Motpart!D19+Motpart!E19+Motpart!F19+Motpart!J19)*0.06)*-1</f>
        <v>8.5600000001058163E-3</v>
      </c>
      <c r="F53" s="1073"/>
      <c r="G53" s="1252">
        <f>(G44-SUM(G45:G51))*-1</f>
        <v>0</v>
      </c>
      <c r="H53" s="154"/>
      <c r="I53" s="2561"/>
      <c r="J53" s="1964"/>
      <c r="K53" s="1964"/>
      <c r="L53" s="2350"/>
      <c r="M53" s="2357">
        <f>(Motpart!G19+Motpart!K19)*1000000/J44</f>
        <v>280.84702424060174</v>
      </c>
      <c r="N53" s="2197"/>
      <c r="O53" s="2197"/>
      <c r="P53" s="2197"/>
      <c r="Q53" s="2367" t="s">
        <v>932</v>
      </c>
      <c r="R53" s="2197"/>
      <c r="S53" s="2197"/>
      <c r="T53" s="2197"/>
      <c r="U53" s="2197"/>
      <c r="V53" s="2197"/>
      <c r="W53" s="2197"/>
      <c r="X53" s="2197"/>
      <c r="Y53" s="2197"/>
      <c r="Z53" s="2197"/>
    </row>
    <row r="54" spans="1:26" ht="12.75">
      <c r="A54" s="1102" t="s">
        <v>566</v>
      </c>
      <c r="B54" s="1099"/>
      <c r="C54" s="1073"/>
      <c r="D54" s="1073"/>
      <c r="E54" s="1073"/>
      <c r="F54" s="1073"/>
      <c r="G54" s="1075"/>
      <c r="H54" s="152"/>
      <c r="I54" s="2561"/>
      <c r="J54" s="1964"/>
      <c r="K54" s="1964"/>
      <c r="L54" s="2350"/>
      <c r="M54" s="2361">
        <f>F44*1000000/J44</f>
        <v>283.78123493080852</v>
      </c>
      <c r="N54" s="2197"/>
      <c r="O54" s="2197"/>
      <c r="P54" s="2197"/>
      <c r="Q54" s="2367" t="s">
        <v>933</v>
      </c>
      <c r="R54" s="2197"/>
      <c r="S54" s="2197"/>
      <c r="T54" s="2197"/>
      <c r="U54" s="2197"/>
      <c r="V54" s="2197"/>
      <c r="W54" s="2197"/>
      <c r="X54" s="2197"/>
      <c r="Y54" s="2197"/>
      <c r="Z54" s="2197"/>
    </row>
    <row r="55" spans="1:26" ht="12.75">
      <c r="A55" s="1102" t="s">
        <v>567</v>
      </c>
      <c r="B55" s="1104"/>
      <c r="C55" s="1073"/>
      <c r="D55" s="1073"/>
      <c r="E55" s="1073"/>
      <c r="F55" s="1073"/>
      <c r="G55" s="1075"/>
      <c r="H55" s="150"/>
      <c r="I55" s="2561"/>
      <c r="J55" s="1964"/>
      <c r="K55" s="1964"/>
      <c r="L55" s="2350"/>
      <c r="M55" s="2361">
        <f>Motpart!H19*1000000/J44</f>
        <v>1.4502011598050502</v>
      </c>
      <c r="N55" s="2197"/>
      <c r="O55" s="2197"/>
      <c r="P55" s="2197"/>
      <c r="Q55" s="2367" t="s">
        <v>1159</v>
      </c>
      <c r="R55" s="2197"/>
      <c r="S55" s="2197"/>
      <c r="T55" s="2197"/>
      <c r="U55" s="2197"/>
      <c r="V55" s="2197"/>
      <c r="W55" s="2197"/>
      <c r="X55" s="2197"/>
      <c r="Y55" s="2197"/>
      <c r="Z55" s="2197"/>
    </row>
    <row r="56" spans="1:26" ht="12.75">
      <c r="A56" s="1084" t="s">
        <v>568</v>
      </c>
      <c r="B56" s="1099"/>
      <c r="C56" s="1062"/>
      <c r="D56" s="1062"/>
      <c r="E56" s="1062"/>
      <c r="F56" s="1062"/>
      <c r="G56" s="1072"/>
      <c r="H56" s="1255"/>
      <c r="I56" s="1256"/>
      <c r="J56" s="1492"/>
      <c r="K56" s="1115"/>
      <c r="L56" s="1115"/>
      <c r="M56" s="2361">
        <f>(Motpart!D19+Motpart!E19+Motpart!F19+Motpart!J19-(Motpart!D19+Motpart!E19+Motpart!F19+Motpart!J19)*0.06)*1000000/J44</f>
        <v>297.07988206216828</v>
      </c>
      <c r="N56" s="2197"/>
      <c r="O56" s="2197"/>
      <c r="P56" s="2197"/>
      <c r="Q56" s="2367" t="s">
        <v>934</v>
      </c>
      <c r="R56" s="2197"/>
      <c r="S56" s="2197"/>
      <c r="T56" s="2197"/>
      <c r="U56" s="2197"/>
      <c r="V56" s="2197"/>
      <c r="W56" s="2197"/>
      <c r="X56" s="2197"/>
      <c r="Y56" s="2197"/>
      <c r="Z56" s="2197"/>
    </row>
    <row r="57" spans="1:26" ht="13.5" thickBot="1">
      <c r="A57" s="1102"/>
      <c r="B57" s="1105"/>
      <c r="C57" s="1822" t="str">
        <f>IF(ABS(C53)&lt;100,"",IF(C44=0,"C44",IF(ABS(C53/C44)&gt;0.01,"C53")))</f>
        <v/>
      </c>
      <c r="D57" s="1822"/>
      <c r="E57" s="1822" t="str">
        <f>IF(ABS(E53)&lt;100,"",IF(E44=0,"E44",IF(ABS(E53/E44)&gt;0.01,"E53")))</f>
        <v/>
      </c>
      <c r="F57" s="1822"/>
      <c r="G57" s="1823" t="str">
        <f>IF(ABS(G53)&lt;100,"",IF(G44=0,"G44",IF(ABS(G53/G44)&gt;0.01,"G53")))</f>
        <v/>
      </c>
      <c r="H57" s="168"/>
      <c r="I57" s="1116"/>
      <c r="J57" s="1493"/>
      <c r="K57" s="1112"/>
      <c r="L57" s="1112"/>
      <c r="M57" s="2362"/>
      <c r="N57" s="2197"/>
      <c r="O57" s="2197"/>
      <c r="P57" s="2197"/>
      <c r="Q57" s="2369" t="s">
        <v>506</v>
      </c>
      <c r="R57" s="2197"/>
      <c r="S57" s="2197"/>
      <c r="T57" s="2197"/>
      <c r="U57" s="2197"/>
      <c r="V57" s="2197"/>
      <c r="W57" s="2197"/>
      <c r="X57" s="2197"/>
      <c r="Y57" s="2197"/>
      <c r="Z57" s="2197"/>
    </row>
    <row r="58" spans="1:26" ht="12.75">
      <c r="A58" s="1086" t="s">
        <v>403</v>
      </c>
      <c r="B58" s="1095" t="s">
        <v>545</v>
      </c>
      <c r="C58" s="81">
        <f>Drift!P56</f>
        <v>59441.473999999987</v>
      </c>
      <c r="D58" s="82">
        <f>SUM(Motpart!D20:L20)</f>
        <v>23098.018999999997</v>
      </c>
      <c r="E58" s="82">
        <f>Drift!W56</f>
        <v>14977.165999999999</v>
      </c>
      <c r="F58" s="82">
        <f>Motpart!Y20</f>
        <v>7795.0079999999998</v>
      </c>
      <c r="G58" s="130">
        <f>Drift!V56</f>
        <v>4191.0159999999996</v>
      </c>
      <c r="H58" s="150"/>
      <c r="I58" s="1390" t="s">
        <v>859</v>
      </c>
      <c r="J58" s="1491">
        <v>353807</v>
      </c>
      <c r="K58" s="1389"/>
      <c r="L58" s="1389"/>
      <c r="M58" s="2363">
        <f>SUM(M59:M61,M63:M65)</f>
        <v>86138.490759086169</v>
      </c>
      <c r="N58" s="2197"/>
      <c r="O58" s="2197"/>
      <c r="P58" s="2197"/>
      <c r="Q58" s="2367" t="s">
        <v>867</v>
      </c>
      <c r="R58" s="2197"/>
      <c r="S58" s="2197"/>
      <c r="T58" s="2197"/>
      <c r="U58" s="2197"/>
      <c r="V58" s="2197"/>
      <c r="W58" s="2197"/>
      <c r="X58" s="2197"/>
      <c r="Y58" s="2197"/>
      <c r="Z58" s="2197"/>
    </row>
    <row r="59" spans="1:26" ht="12.75">
      <c r="A59" s="1081" t="s">
        <v>404</v>
      </c>
      <c r="B59" s="1096" t="s">
        <v>504</v>
      </c>
      <c r="C59" s="268">
        <v>18167.115000000002</v>
      </c>
      <c r="D59" s="1073"/>
      <c r="E59" s="246">
        <v>1922.7280000000001</v>
      </c>
      <c r="F59" s="1065"/>
      <c r="G59" s="267">
        <v>1812.9</v>
      </c>
      <c r="H59" s="154" t="s">
        <v>601</v>
      </c>
      <c r="I59" s="1386"/>
      <c r="J59" s="1387"/>
      <c r="K59" s="1388"/>
      <c r="L59" s="1388"/>
      <c r="M59" s="2361">
        <f>(C59-E59)*1000000/J58</f>
        <v>45913.130605103921</v>
      </c>
      <c r="N59" s="2197"/>
      <c r="O59" s="2197"/>
      <c r="P59" s="2197"/>
      <c r="Q59" s="2367" t="s">
        <v>868</v>
      </c>
      <c r="R59" s="2197"/>
      <c r="S59" s="2197"/>
      <c r="T59" s="2197"/>
      <c r="U59" s="2197"/>
      <c r="V59" s="2197"/>
      <c r="W59" s="2197"/>
      <c r="X59" s="2197"/>
      <c r="Y59" s="2197"/>
      <c r="Z59" s="2197"/>
    </row>
    <row r="60" spans="1:26" ht="12.75">
      <c r="A60" s="1081" t="s">
        <v>405</v>
      </c>
      <c r="B60" s="1096" t="s">
        <v>846</v>
      </c>
      <c r="C60" s="268">
        <v>2347.5529999999999</v>
      </c>
      <c r="D60" s="1073"/>
      <c r="E60" s="246">
        <v>161.31</v>
      </c>
      <c r="F60" s="1065"/>
      <c r="G60" s="267">
        <v>48.085000000000001</v>
      </c>
      <c r="H60" s="154" t="s">
        <v>602</v>
      </c>
      <c r="I60" s="1386"/>
      <c r="J60" s="1387"/>
      <c r="K60" s="1115"/>
      <c r="L60" s="1115"/>
      <c r="M60" s="2361">
        <f>(C60-E60)*1000000/J58</f>
        <v>6179.1965676201999</v>
      </c>
      <c r="N60" s="2197"/>
      <c r="O60" s="2197"/>
      <c r="P60" s="2197"/>
      <c r="Q60" s="2367" t="s">
        <v>869</v>
      </c>
      <c r="R60" s="2197"/>
      <c r="S60" s="2197"/>
      <c r="T60" s="2197"/>
      <c r="U60" s="2197"/>
      <c r="V60" s="2197"/>
      <c r="W60" s="2197"/>
      <c r="X60" s="2197"/>
      <c r="Y60" s="2197"/>
      <c r="Z60" s="2197"/>
    </row>
    <row r="61" spans="1:26" ht="12.75">
      <c r="A61" s="1081" t="s">
        <v>406</v>
      </c>
      <c r="B61" s="1096" t="s">
        <v>522</v>
      </c>
      <c r="C61" s="268">
        <v>1397.1610000000001</v>
      </c>
      <c r="D61" s="1073"/>
      <c r="E61" s="246">
        <v>142.38800000000001</v>
      </c>
      <c r="F61" s="1065"/>
      <c r="G61" s="267">
        <v>70.412000000000006</v>
      </c>
      <c r="H61" s="152"/>
      <c r="I61" s="1386"/>
      <c r="J61" s="1206"/>
      <c r="K61" s="1111"/>
      <c r="L61" s="1111"/>
      <c r="M61" s="2361">
        <f>(C61-E61)*1000000/J58</f>
        <v>3546.4900355278451</v>
      </c>
      <c r="N61" s="2197"/>
      <c r="O61" s="2197"/>
      <c r="P61" s="2197"/>
      <c r="Q61" s="2367" t="s">
        <v>870</v>
      </c>
      <c r="R61" s="2197"/>
      <c r="S61" s="2197"/>
      <c r="T61" s="2197"/>
      <c r="U61" s="2197"/>
      <c r="V61" s="2197"/>
      <c r="W61" s="2197"/>
      <c r="X61" s="2197"/>
      <c r="Y61" s="2197"/>
      <c r="Z61" s="2197"/>
    </row>
    <row r="62" spans="1:26" ht="12.75">
      <c r="A62" s="1081" t="s">
        <v>255</v>
      </c>
      <c r="B62" s="1096" t="s">
        <v>502</v>
      </c>
      <c r="C62" s="268">
        <v>1323.9</v>
      </c>
      <c r="D62" s="1073" t="str">
        <f>IF(C58=0,"",IF(OR(C62=0,C62=""),"Kontrollera",""))</f>
        <v/>
      </c>
      <c r="E62" s="246">
        <v>60.451999999999998</v>
      </c>
      <c r="F62" s="1065"/>
      <c r="G62" s="267">
        <v>3.49</v>
      </c>
      <c r="H62" s="150" t="s">
        <v>603</v>
      </c>
      <c r="I62" s="1386"/>
      <c r="J62" s="1387"/>
      <c r="K62" s="1388"/>
      <c r="L62" s="1388"/>
      <c r="M62" s="2361">
        <f>(C62-E62)*1000000/J58</f>
        <v>3571.0090529582512</v>
      </c>
      <c r="N62" s="2197"/>
      <c r="O62" s="2197"/>
      <c r="P62" s="2197"/>
      <c r="Q62" s="2367" t="s">
        <v>871</v>
      </c>
      <c r="R62" s="2197"/>
      <c r="S62" s="2197"/>
      <c r="T62" s="2197"/>
      <c r="U62" s="2197"/>
      <c r="V62" s="2197"/>
      <c r="W62" s="2197"/>
      <c r="X62" s="2197"/>
      <c r="Y62" s="2197"/>
      <c r="Z62" s="2197"/>
    </row>
    <row r="63" spans="1:26" ht="12.75">
      <c r="A63" s="1081" t="s">
        <v>407</v>
      </c>
      <c r="B63" s="1097" t="s">
        <v>758</v>
      </c>
      <c r="C63" s="268">
        <v>858.21199999999999</v>
      </c>
      <c r="D63" s="1073"/>
      <c r="E63" s="246">
        <v>28.166</v>
      </c>
      <c r="F63" s="1065"/>
      <c r="G63" s="267">
        <v>23.148</v>
      </c>
      <c r="H63" s="154" t="s">
        <v>604</v>
      </c>
      <c r="I63" s="1386"/>
      <c r="J63" s="1387"/>
      <c r="K63" s="1388"/>
      <c r="L63" s="1388"/>
      <c r="M63" s="2361">
        <f>(C63-E63)*1000000/J58</f>
        <v>2346.0417685348225</v>
      </c>
      <c r="N63" s="2197"/>
      <c r="O63" s="2197"/>
      <c r="P63" s="2197"/>
      <c r="Q63" s="2367" t="s">
        <v>872</v>
      </c>
      <c r="R63" s="2197"/>
      <c r="S63" s="2197"/>
      <c r="T63" s="2197"/>
      <c r="U63" s="2197"/>
      <c r="V63" s="2197"/>
      <c r="W63" s="2197"/>
      <c r="X63" s="2197"/>
      <c r="Y63" s="2197"/>
      <c r="Z63" s="2197"/>
    </row>
    <row r="64" spans="1:26" ht="12.75">
      <c r="A64" s="1081" t="s">
        <v>408</v>
      </c>
      <c r="B64" s="1098" t="s">
        <v>539</v>
      </c>
      <c r="C64" s="268">
        <v>5480.4319999999998</v>
      </c>
      <c r="D64" s="1073" t="str">
        <f>IF(C58=0,"",IF(OR(C64&lt;=Drift!I56+Drift!J56+Drift!L56,C64&gt;=((Drift!I56+Drift!J56+Drift!L56)*1.5)),"Kontrollera",""))</f>
        <v/>
      </c>
      <c r="E64" s="246">
        <v>123.718</v>
      </c>
      <c r="F64" s="1065"/>
      <c r="G64" s="267">
        <v>68.114000000000004</v>
      </c>
      <c r="H64" s="154" t="s">
        <v>605</v>
      </c>
      <c r="I64" s="1386"/>
      <c r="J64" s="1387"/>
      <c r="K64" s="1388"/>
      <c r="L64" s="1388"/>
      <c r="M64" s="2361">
        <f>(C64-E64)*1000000/J58</f>
        <v>15140.214862905483</v>
      </c>
      <c r="N64" s="2197"/>
      <c r="O64" s="2197"/>
      <c r="P64" s="2197"/>
      <c r="Q64" s="2367" t="s">
        <v>873</v>
      </c>
      <c r="R64" s="2197"/>
      <c r="S64" s="2197"/>
      <c r="T64" s="2197"/>
      <c r="U64" s="2197"/>
      <c r="V64" s="2197"/>
      <c r="W64" s="2197"/>
      <c r="X64" s="2197"/>
      <c r="Y64" s="2197"/>
      <c r="Z64" s="2197"/>
    </row>
    <row r="65" spans="1:26" ht="12.75">
      <c r="A65" s="1081" t="s">
        <v>409</v>
      </c>
      <c r="B65" s="1106" t="s">
        <v>455</v>
      </c>
      <c r="C65" s="268">
        <v>5635.5510000000004</v>
      </c>
      <c r="D65" s="1073"/>
      <c r="E65" s="246">
        <v>4007.4740000000002</v>
      </c>
      <c r="F65" s="1065"/>
      <c r="G65" s="267">
        <v>2164.8670000000002</v>
      </c>
      <c r="H65" s="154" t="s">
        <v>606</v>
      </c>
      <c r="I65" s="2565" t="str">
        <f>IF(SUM(E65-G65+100)&lt;Motpart!AA20,"I Motparten är statsbidragen "&amp;""&amp;(Motpart!AA20)&amp;" tkr. Alla bidrag från staten o statliga myndigheter, inklusive de från Migrationsverket, ska ingå under Övrigt som extern intäkt. De externa intäkterna på Övrigt-raden är dock bara "&amp;""&amp;(ROUND(E65-G65,0))&amp;" tkr. ","")</f>
        <v/>
      </c>
      <c r="J65" s="1965"/>
      <c r="K65" s="1965"/>
      <c r="L65" s="2351"/>
      <c r="M65" s="2361">
        <f>(C65+C66-G65)*1000000/J58</f>
        <v>13013.416919393907</v>
      </c>
      <c r="N65" s="2197"/>
      <c r="O65" s="2197"/>
      <c r="P65" s="2197"/>
      <c r="Q65" s="2367" t="s">
        <v>874</v>
      </c>
      <c r="R65" s="2197"/>
      <c r="S65" s="2197"/>
      <c r="T65" s="2197"/>
      <c r="U65" s="2197"/>
      <c r="V65" s="2197"/>
      <c r="W65" s="2197"/>
      <c r="X65" s="2197"/>
      <c r="Y65" s="2197"/>
      <c r="Z65" s="2197"/>
    </row>
    <row r="66" spans="1:26" ht="12.75">
      <c r="A66" s="1081" t="s">
        <v>410</v>
      </c>
      <c r="B66" s="1107" t="s">
        <v>465</v>
      </c>
      <c r="C66" s="268">
        <v>1133.5540000000001</v>
      </c>
      <c r="D66" s="2176" t="str">
        <f>IF(OR(C66 &gt; SUM(Drift!N56+Drift!O56+100), C66 &lt; SUM(Drift!N56+Drift!O56-100)),"Fördelad gemensam verksamhet skiljer sig mot Driftfliken.","")</f>
        <v/>
      </c>
      <c r="E66" s="1073"/>
      <c r="F66" s="1073"/>
      <c r="G66" s="1075"/>
      <c r="H66" s="154"/>
      <c r="I66" s="2566"/>
      <c r="J66" s="1965"/>
      <c r="K66" s="1965"/>
      <c r="L66" s="2351"/>
      <c r="M66" s="2361">
        <f>(M58*J58/1000000+D58-F58-(Motpart!D20+Motpart!E20+Motpart!F20+Motpart!J20)*0.06)*1000000/J58+M62</f>
        <v>130881.91731650307</v>
      </c>
      <c r="N66" s="2197"/>
      <c r="O66" s="2197"/>
      <c r="P66" s="2197"/>
      <c r="Q66" s="2367" t="s">
        <v>875</v>
      </c>
      <c r="R66" s="2197"/>
      <c r="S66" s="2197"/>
      <c r="T66" s="2197"/>
      <c r="U66" s="2197"/>
      <c r="V66" s="2197"/>
      <c r="W66" s="2197"/>
      <c r="X66" s="2197"/>
      <c r="Y66" s="2197"/>
      <c r="Z66" s="2197"/>
    </row>
    <row r="67" spans="1:26" ht="12.75">
      <c r="A67" s="1081" t="s">
        <v>572</v>
      </c>
      <c r="B67" s="1099" t="s">
        <v>129</v>
      </c>
      <c r="C67" s="1250">
        <f>(C58-SUM(C59:C66)-D58)*-1</f>
        <v>2.3000000011961674E-2</v>
      </c>
      <c r="D67" s="1061"/>
      <c r="E67" s="1251">
        <f>(E58-SUM(E59:E65)-F58-SUM(Motpart!D20+Motpart!E20+Motpart!F20+Motpart!J20)*0.06)*-1</f>
        <v>-5.2000000050611561E-4</v>
      </c>
      <c r="F67" s="1061"/>
      <c r="G67" s="1252">
        <f>(G58-SUM(G59:G65))*-1</f>
        <v>9.0949470177292824E-13</v>
      </c>
      <c r="H67" s="154"/>
      <c r="I67" s="2566"/>
      <c r="J67" s="1965"/>
      <c r="K67" s="1965"/>
      <c r="L67" s="2351"/>
      <c r="M67" s="2361">
        <f>(Motpart!G20+Motpart!K20)*1000000/J58</f>
        <v>28833.140667086856</v>
      </c>
      <c r="N67" s="2197"/>
      <c r="O67" s="2197"/>
      <c r="P67" s="2197"/>
      <c r="Q67" s="2367" t="s">
        <v>1158</v>
      </c>
      <c r="R67" s="2197"/>
      <c r="S67" s="2197"/>
      <c r="T67" s="2197"/>
      <c r="U67" s="2197"/>
      <c r="V67" s="2197"/>
      <c r="W67" s="2197"/>
      <c r="X67" s="2197"/>
      <c r="Y67" s="2197"/>
      <c r="Z67" s="2197"/>
    </row>
    <row r="68" spans="1:26" ht="12.75">
      <c r="A68" s="1100" t="s">
        <v>573</v>
      </c>
      <c r="B68" s="1099"/>
      <c r="C68" s="1073"/>
      <c r="D68" s="1062"/>
      <c r="E68" s="1073"/>
      <c r="F68" s="1073"/>
      <c r="G68" s="1075"/>
      <c r="H68" s="152"/>
      <c r="I68" s="2566"/>
      <c r="J68" s="1965"/>
      <c r="K68" s="1965"/>
      <c r="L68" s="2351"/>
      <c r="M68" s="2361">
        <f>F58*1000000/J58</f>
        <v>22031.808302266491</v>
      </c>
      <c r="N68" s="2197"/>
      <c r="O68" s="2197"/>
      <c r="P68" s="2197"/>
      <c r="Q68" s="2367" t="s">
        <v>1157</v>
      </c>
      <c r="R68" s="2197"/>
      <c r="S68" s="2197"/>
      <c r="T68" s="2197"/>
      <c r="U68" s="2197"/>
      <c r="V68" s="2197"/>
      <c r="W68" s="2197"/>
      <c r="X68" s="2197"/>
      <c r="Y68" s="2197"/>
      <c r="Z68" s="2197"/>
    </row>
    <row r="69" spans="1:26" ht="12.75">
      <c r="A69" s="1100" t="s">
        <v>574</v>
      </c>
      <c r="B69" s="1104"/>
      <c r="C69" s="1073"/>
      <c r="D69" s="1062"/>
      <c r="E69" s="1073"/>
      <c r="F69" s="1073"/>
      <c r="G69" s="1075"/>
      <c r="H69" s="150"/>
      <c r="I69" s="2566"/>
      <c r="J69" s="1965"/>
      <c r="K69" s="1965"/>
      <c r="L69" s="2351"/>
      <c r="M69" s="2361">
        <f>Motpart!H20*1000000/J58</f>
        <v>1375.781146218136</v>
      </c>
      <c r="N69" s="2197"/>
      <c r="O69" s="2197"/>
      <c r="P69" s="2197"/>
      <c r="Q69" s="2367" t="s">
        <v>1160</v>
      </c>
      <c r="R69" s="2197"/>
      <c r="S69" s="2197"/>
      <c r="T69" s="2197"/>
      <c r="U69" s="2197"/>
      <c r="V69" s="2197"/>
      <c r="W69" s="2197"/>
      <c r="X69" s="2197"/>
      <c r="Y69" s="2197"/>
      <c r="Z69" s="2197"/>
    </row>
    <row r="70" spans="1:26" ht="12.75">
      <c r="A70" s="1100" t="s">
        <v>575</v>
      </c>
      <c r="B70" s="1099"/>
      <c r="C70" s="1062"/>
      <c r="D70" s="1062"/>
      <c r="E70" s="1062"/>
      <c r="F70" s="1062"/>
      <c r="G70" s="1072"/>
      <c r="H70" s="1255"/>
      <c r="I70" s="1256"/>
      <c r="J70" s="1492"/>
      <c r="K70" s="1115"/>
      <c r="L70" s="1115"/>
      <c r="M70" s="2361">
        <f>((Motpart!D20+Motpart!E20+Motpart!F20+Motpart!J20)-(Motpart!D20+Motpart!E20+Motpart!F20+Motpart!J20)*0.06)*1000000/J58</f>
        <v>32586.795965031783</v>
      </c>
      <c r="N70" s="2197"/>
      <c r="O70" s="2197"/>
      <c r="P70" s="2197"/>
      <c r="Q70" s="2367" t="s">
        <v>876</v>
      </c>
      <c r="R70" s="2197"/>
      <c r="S70" s="2197"/>
      <c r="T70" s="2197"/>
      <c r="U70" s="2197"/>
      <c r="V70" s="2197"/>
      <c r="W70" s="2197"/>
      <c r="X70" s="2197"/>
      <c r="Y70" s="2197"/>
      <c r="Z70" s="2197"/>
    </row>
    <row r="71" spans="1:26" ht="13.5" thickBot="1">
      <c r="A71" s="1108"/>
      <c r="B71" s="1109"/>
      <c r="C71" s="1818" t="str">
        <f>IF(ABS(C67)&lt;100,"",IF(C58=0,"C58",IF(ABS(C67/C58)&gt;0.01,"C67")))</f>
        <v/>
      </c>
      <c r="D71" s="1819"/>
      <c r="E71" s="1819" t="str">
        <f>IF(ABS(E67)&lt;100,"",IF(E58=0,"E58",IF(ABS(E67/E58)&gt;0.01,"E67")))</f>
        <v/>
      </c>
      <c r="F71" s="1821"/>
      <c r="G71" s="1820" t="str">
        <f>IF(ABS(G67)&lt;100,"",IF(G58=0,"G58",IF(ABS(G67/G58)&gt;0.01,"G67")))</f>
        <v/>
      </c>
      <c r="H71" s="153"/>
      <c r="I71" s="1114"/>
      <c r="J71" s="1493"/>
      <c r="K71" s="1112"/>
      <c r="L71" s="1112"/>
      <c r="M71" s="2362"/>
      <c r="N71" s="2197"/>
      <c r="O71" s="2197"/>
      <c r="P71" s="2197"/>
      <c r="Q71" s="2369" t="s">
        <v>507</v>
      </c>
      <c r="R71" s="2197"/>
      <c r="S71" s="2197"/>
      <c r="T71" s="2197"/>
      <c r="U71" s="2197"/>
      <c r="V71" s="2197"/>
      <c r="W71" s="2197"/>
      <c r="X71" s="2197"/>
      <c r="Y71" s="2197"/>
      <c r="Z71" s="2197"/>
    </row>
    <row r="72" spans="1:26" ht="12.75">
      <c r="A72" s="1086" t="s">
        <v>411</v>
      </c>
      <c r="B72" s="1095" t="s">
        <v>546</v>
      </c>
      <c r="C72" s="81">
        <f>Drift!P57</f>
        <v>4302.6059999999998</v>
      </c>
      <c r="D72" s="82">
        <f>SUM(Motpart!D21:L21)</f>
        <v>1220.8259999999998</v>
      </c>
      <c r="E72" s="82">
        <f>Drift!W57</f>
        <v>1112.654</v>
      </c>
      <c r="F72" s="82">
        <f>Motpart!Y21</f>
        <v>683.44600000000003</v>
      </c>
      <c r="G72" s="130">
        <f>Drift!V57</f>
        <v>297.18200000000002</v>
      </c>
      <c r="H72" s="150"/>
      <c r="I72" s="1400" t="s">
        <v>859</v>
      </c>
      <c r="J72" s="1491">
        <v>353807</v>
      </c>
      <c r="K72" s="1391"/>
      <c r="L72" s="1389"/>
      <c r="M72" s="2363">
        <f>SUM(M73:M75,M77:M79)</f>
        <v>6919.3402052531465</v>
      </c>
      <c r="N72" s="2197"/>
      <c r="O72" s="2197"/>
      <c r="P72" s="2197"/>
      <c r="Q72" s="2367" t="s">
        <v>867</v>
      </c>
      <c r="R72" s="2197"/>
      <c r="S72" s="2197"/>
      <c r="T72" s="2197"/>
      <c r="U72" s="2197"/>
      <c r="V72" s="2197"/>
      <c r="W72" s="2197"/>
      <c r="X72" s="2197"/>
      <c r="Y72" s="2197"/>
      <c r="Z72" s="2197"/>
    </row>
    <row r="73" spans="1:26" ht="12.75">
      <c r="A73" s="1081" t="s">
        <v>412</v>
      </c>
      <c r="B73" s="1096" t="s">
        <v>504</v>
      </c>
      <c r="C73" s="268">
        <v>1407.989</v>
      </c>
      <c r="D73" s="1073"/>
      <c r="E73" s="246">
        <v>158.631</v>
      </c>
      <c r="F73" s="1065"/>
      <c r="G73" s="267">
        <v>153.23500000000001</v>
      </c>
      <c r="H73" s="167" t="s">
        <v>607</v>
      </c>
      <c r="I73" s="836"/>
      <c r="J73" s="1387"/>
      <c r="K73" s="1388"/>
      <c r="L73" s="1388"/>
      <c r="M73" s="2361">
        <f>(C73-E73)*1000000/J72</f>
        <v>3531.1850811318036</v>
      </c>
      <c r="N73" s="2197"/>
      <c r="O73" s="2197"/>
      <c r="P73" s="2197"/>
      <c r="Q73" s="2367" t="s">
        <v>868</v>
      </c>
      <c r="R73" s="2197"/>
      <c r="S73" s="2197"/>
      <c r="T73" s="2197"/>
      <c r="U73" s="2197"/>
      <c r="V73" s="2197"/>
      <c r="W73" s="2197"/>
      <c r="X73" s="2197"/>
      <c r="Y73" s="2197"/>
      <c r="Z73" s="2197"/>
    </row>
    <row r="74" spans="1:26" ht="12.75">
      <c r="A74" s="1081" t="s">
        <v>413</v>
      </c>
      <c r="B74" s="1096" t="s">
        <v>846</v>
      </c>
      <c r="C74" s="268">
        <v>81.536000000000001</v>
      </c>
      <c r="D74" s="1073"/>
      <c r="E74" s="246">
        <v>10.010999999999999</v>
      </c>
      <c r="F74" s="1065"/>
      <c r="G74" s="267">
        <v>4.2190000000000003</v>
      </c>
      <c r="H74" s="166" t="s">
        <v>608</v>
      </c>
      <c r="I74" s="836"/>
      <c r="J74" s="1387"/>
      <c r="K74" s="1115"/>
      <c r="L74" s="1115"/>
      <c r="M74" s="2361">
        <f>(C74-E74)*1000000/J72</f>
        <v>202.15823881381658</v>
      </c>
      <c r="N74" s="2197"/>
      <c r="O74" s="2197"/>
      <c r="P74" s="2197"/>
      <c r="Q74" s="2367" t="s">
        <v>869</v>
      </c>
      <c r="R74" s="2197"/>
      <c r="S74" s="2197"/>
      <c r="T74" s="2197"/>
      <c r="U74" s="2197"/>
      <c r="V74" s="2197"/>
      <c r="W74" s="2197"/>
      <c r="X74" s="2197"/>
      <c r="Y74" s="2197"/>
      <c r="Z74" s="2197"/>
    </row>
    <row r="75" spans="1:26" ht="12.75">
      <c r="A75" s="1081" t="s">
        <v>414</v>
      </c>
      <c r="B75" s="1096" t="s">
        <v>522</v>
      </c>
      <c r="C75" s="268">
        <v>41.192999999999998</v>
      </c>
      <c r="D75" s="1073"/>
      <c r="E75" s="246">
        <v>4.2930000000000001</v>
      </c>
      <c r="F75" s="1065"/>
      <c r="G75" s="267">
        <v>2.2839999999999998</v>
      </c>
      <c r="H75" s="1399"/>
      <c r="I75" s="836"/>
      <c r="J75" s="1206"/>
      <c r="K75" s="1111"/>
      <c r="L75" s="1111"/>
      <c r="M75" s="2361">
        <f>(C75-E75)*1000000/J72</f>
        <v>104.29414906997317</v>
      </c>
      <c r="N75" s="2197"/>
      <c r="O75" s="2197"/>
      <c r="P75" s="2197"/>
      <c r="Q75" s="2367" t="s">
        <v>870</v>
      </c>
      <c r="R75" s="2197"/>
      <c r="S75" s="2197"/>
      <c r="T75" s="2197"/>
      <c r="U75" s="2197"/>
      <c r="V75" s="2197"/>
      <c r="W75" s="2197"/>
      <c r="X75" s="2197"/>
      <c r="Y75" s="2197"/>
      <c r="Z75" s="2197"/>
    </row>
    <row r="76" spans="1:26" ht="12.75">
      <c r="A76" s="1081" t="s">
        <v>415</v>
      </c>
      <c r="B76" s="1096" t="s">
        <v>502</v>
      </c>
      <c r="C76" s="268">
        <v>324.55399999999997</v>
      </c>
      <c r="D76" s="1073" t="str">
        <f>IF(C72=0,"",IF(OR(C76=0,C76=""),"Kontrollera",""))</f>
        <v/>
      </c>
      <c r="E76" s="246">
        <v>7.9420000000000002</v>
      </c>
      <c r="F76" s="1065"/>
      <c r="G76" s="267">
        <v>3.6</v>
      </c>
      <c r="H76" s="1399" t="s">
        <v>609</v>
      </c>
      <c r="I76" s="836"/>
      <c r="J76" s="1387"/>
      <c r="K76" s="1388"/>
      <c r="L76" s="1388"/>
      <c r="M76" s="2361">
        <f>(C76-E76)*1000000/J72</f>
        <v>894.87206301740764</v>
      </c>
      <c r="N76" s="2197"/>
      <c r="O76" s="2197"/>
      <c r="P76" s="2197"/>
      <c r="Q76" s="2367" t="s">
        <v>871</v>
      </c>
      <c r="R76" s="2197"/>
      <c r="S76" s="2197"/>
      <c r="T76" s="2197"/>
      <c r="U76" s="2197"/>
      <c r="V76" s="2197"/>
      <c r="W76" s="2197"/>
      <c r="X76" s="2197"/>
      <c r="Y76" s="2197"/>
      <c r="Z76" s="2197"/>
    </row>
    <row r="77" spans="1:26" ht="12.75">
      <c r="A77" s="1081" t="s">
        <v>416</v>
      </c>
      <c r="B77" s="1097" t="s">
        <v>758</v>
      </c>
      <c r="C77" s="268">
        <v>68.212999999999994</v>
      </c>
      <c r="D77" s="1073"/>
      <c r="E77" s="246">
        <v>1.998</v>
      </c>
      <c r="F77" s="1065"/>
      <c r="G77" s="267">
        <v>1.0820000000000001</v>
      </c>
      <c r="H77" s="1399" t="s">
        <v>610</v>
      </c>
      <c r="I77" s="836"/>
      <c r="J77" s="1387"/>
      <c r="K77" s="1388"/>
      <c r="L77" s="1388"/>
      <c r="M77" s="2361">
        <f>(C77-E77)*1000000/J72</f>
        <v>187.15005638667407</v>
      </c>
      <c r="N77" s="2197"/>
      <c r="O77" s="2197"/>
      <c r="P77" s="2197"/>
      <c r="Q77" s="2367" t="s">
        <v>872</v>
      </c>
      <c r="R77" s="2197"/>
      <c r="S77" s="2197"/>
      <c r="T77" s="2197"/>
      <c r="U77" s="2197"/>
      <c r="V77" s="2197"/>
      <c r="W77" s="2197"/>
      <c r="X77" s="2197"/>
      <c r="Y77" s="2197"/>
      <c r="Z77" s="2197"/>
    </row>
    <row r="78" spans="1:26" ht="12.75">
      <c r="A78" s="1081" t="s">
        <v>417</v>
      </c>
      <c r="B78" s="1098" t="s">
        <v>539</v>
      </c>
      <c r="C78" s="268">
        <v>305.7</v>
      </c>
      <c r="D78" s="1073" t="str">
        <f>IF(C72=0,"",IF(OR(C78&lt;=Drift!I57+Drift!J57+Drift!L57,C78&gt;=((Drift!I57+Drift!J57+Drift!L57)*1.5)),"Kontrollera",""))</f>
        <v/>
      </c>
      <c r="E78" s="246">
        <v>4.1079999999999997</v>
      </c>
      <c r="F78" s="1065"/>
      <c r="G78" s="267">
        <v>2.665</v>
      </c>
      <c r="H78" s="1399" t="s">
        <v>611</v>
      </c>
      <c r="I78" s="836"/>
      <c r="J78" s="1387"/>
      <c r="K78" s="1388"/>
      <c r="L78" s="1388"/>
      <c r="M78" s="2361">
        <f>(C78-E78)*1000000/J72</f>
        <v>852.4195394664323</v>
      </c>
      <c r="N78" s="2197"/>
      <c r="O78" s="2197"/>
      <c r="P78" s="2197"/>
      <c r="Q78" s="2367" t="s">
        <v>873</v>
      </c>
      <c r="R78" s="2197"/>
      <c r="S78" s="2197"/>
      <c r="T78" s="2197"/>
      <c r="U78" s="2197"/>
      <c r="V78" s="2197"/>
      <c r="W78" s="2197"/>
      <c r="X78" s="2197"/>
      <c r="Y78" s="2197"/>
      <c r="Z78" s="2197"/>
    </row>
    <row r="79" spans="1:26" ht="12.75">
      <c r="A79" s="1081" t="s">
        <v>418</v>
      </c>
      <c r="B79" s="1096" t="s">
        <v>455</v>
      </c>
      <c r="C79" s="268">
        <v>757.19500000000005</v>
      </c>
      <c r="D79" s="1073"/>
      <c r="E79" s="246">
        <v>225.53399999999999</v>
      </c>
      <c r="F79" s="1065"/>
      <c r="G79" s="267">
        <v>130.096</v>
      </c>
      <c r="H79" s="167" t="s">
        <v>612</v>
      </c>
      <c r="I79" s="2562" t="str">
        <f>IF(SUM(E79-G79+100)&lt;Motpart!AA21,"I Motparten är statsbidragen "&amp;""&amp;(Motpart!AA21)&amp;" tkr. Alla bidrag från staten o statliga myndigheter, inklusive de från Migrationsverket, ska ingå under Övrigt som extern intäkt. De externa intäkterna på Övrigt-raden är dock bara "&amp;""&amp;(ROUND(E79-G79,0))&amp;" tkr. ","")</f>
        <v/>
      </c>
      <c r="J79" s="1964"/>
      <c r="K79" s="1964"/>
      <c r="L79" s="2350"/>
      <c r="M79" s="2356">
        <f>(C79+C80-G79)*1000000/J72</f>
        <v>2042.1331403844472</v>
      </c>
      <c r="N79" s="2197"/>
      <c r="O79" s="2197"/>
      <c r="P79" s="2197"/>
      <c r="Q79" s="2367" t="s">
        <v>874</v>
      </c>
      <c r="R79" s="2197"/>
      <c r="S79" s="2197"/>
      <c r="T79" s="2197"/>
      <c r="U79" s="2197"/>
      <c r="V79" s="2197"/>
      <c r="W79" s="2197"/>
      <c r="X79" s="2197"/>
      <c r="Y79" s="2197"/>
      <c r="Z79" s="2197"/>
    </row>
    <row r="80" spans="1:26" ht="12.75">
      <c r="A80" s="1081" t="s">
        <v>419</v>
      </c>
      <c r="B80" s="1110" t="s">
        <v>465</v>
      </c>
      <c r="C80" s="268">
        <v>95.421999999999997</v>
      </c>
      <c r="D80" s="2176" t="str">
        <f>IF(OR(C80 &gt; SUM(Drift!N57+Drift!O57+100), C80 &lt; SUM(Drift!N57+Drift!O57-100)),"Fördelad gemensam verksamhet skiljer sig mot Driftfliken.","")</f>
        <v/>
      </c>
      <c r="E80" s="1073"/>
      <c r="F80" s="1073"/>
      <c r="G80" s="1075"/>
      <c r="H80" s="166"/>
      <c r="I80" s="2567"/>
      <c r="J80" s="1964"/>
      <c r="K80" s="1964"/>
      <c r="L80" s="2350"/>
      <c r="M80" s="2356">
        <f>((M72*J72/1000000+D72-F72-(Motpart!D21+Motpart!E21+Motpart!F21+Motpart!J21)*0.06))/J72*1000000+M76</f>
        <v>9285.8829813994635</v>
      </c>
      <c r="N80" s="2197"/>
      <c r="O80" s="2197"/>
      <c r="P80" s="2197"/>
      <c r="Q80" s="2367" t="s">
        <v>875</v>
      </c>
      <c r="R80" s="2197"/>
      <c r="S80" s="2197"/>
      <c r="T80" s="2197"/>
      <c r="U80" s="2197"/>
      <c r="V80" s="2197"/>
      <c r="W80" s="2197"/>
      <c r="X80" s="2197"/>
      <c r="Y80" s="2197"/>
      <c r="Z80" s="2197"/>
    </row>
    <row r="81" spans="1:26" ht="12.75">
      <c r="A81" s="1100" t="s">
        <v>576</v>
      </c>
      <c r="B81" s="1099" t="s">
        <v>129</v>
      </c>
      <c r="C81" s="1250">
        <f>(C72-SUM(C73:C80)-D72)*-1</f>
        <v>2.200000000016189E-2</v>
      </c>
      <c r="D81" s="1061"/>
      <c r="E81" s="1251">
        <f>(E72-SUM(E73:E79)-F72-SUM(Motpart!D21+Motpart!E21+Motpart!F21+Motpart!J21)*0.06)*-1</f>
        <v>1.6000000000815362E-3</v>
      </c>
      <c r="F81" s="1061"/>
      <c r="G81" s="1252">
        <f>(G72-SUM(G73:G79))*-1</f>
        <v>-1.0000000000331966E-3</v>
      </c>
      <c r="H81" s="152"/>
      <c r="I81" s="2567"/>
      <c r="J81" s="1964"/>
      <c r="K81" s="1964"/>
      <c r="L81" s="2350"/>
      <c r="M81" s="2361">
        <f>(Motpart!G21+Motpart!K21)*1000000/J72</f>
        <v>2499.3682996662023</v>
      </c>
      <c r="N81" s="2197"/>
      <c r="O81" s="2197"/>
      <c r="P81" s="2197"/>
      <c r="Q81" s="2367" t="s">
        <v>1158</v>
      </c>
      <c r="R81" s="2197"/>
      <c r="S81" s="2197"/>
      <c r="T81" s="2197"/>
      <c r="U81" s="2197"/>
      <c r="V81" s="2197"/>
      <c r="W81" s="2197"/>
      <c r="X81" s="2197"/>
      <c r="Y81" s="2197"/>
      <c r="Z81" s="2197"/>
    </row>
    <row r="82" spans="1:26" ht="12.75">
      <c r="A82" s="1100" t="s">
        <v>577</v>
      </c>
      <c r="B82" s="1099"/>
      <c r="C82" s="1073"/>
      <c r="D82" s="1062"/>
      <c r="E82" s="1073"/>
      <c r="F82" s="1073"/>
      <c r="G82" s="1075"/>
      <c r="H82" s="150"/>
      <c r="I82" s="2567"/>
      <c r="J82" s="1964"/>
      <c r="K82" s="1964"/>
      <c r="L82" s="2350"/>
      <c r="M82" s="2361">
        <f>F72*1000000/J72</f>
        <v>1931.6915719587232</v>
      </c>
      <c r="N82" s="2197"/>
      <c r="O82" s="2197"/>
      <c r="P82" s="2197"/>
      <c r="Q82" s="2367" t="s">
        <v>1157</v>
      </c>
      <c r="R82" s="2197"/>
      <c r="S82" s="2197"/>
      <c r="T82" s="2197"/>
      <c r="U82" s="2197"/>
      <c r="V82" s="2197"/>
      <c r="W82" s="2197"/>
      <c r="X82" s="2197"/>
      <c r="Y82" s="2197"/>
      <c r="Z82" s="2197"/>
    </row>
    <row r="83" spans="1:26" ht="12.75">
      <c r="A83" s="1100" t="s">
        <v>578</v>
      </c>
      <c r="B83" s="1104"/>
      <c r="C83" s="1073"/>
      <c r="D83" s="1062"/>
      <c r="E83" s="1073"/>
      <c r="F83" s="1073"/>
      <c r="G83" s="1075"/>
      <c r="H83" s="154"/>
      <c r="I83" s="2567"/>
      <c r="J83" s="1964"/>
      <c r="K83" s="1964"/>
      <c r="L83" s="2350"/>
      <c r="M83" s="2356">
        <f>Motpart!H21*1000000/J72</f>
        <v>157.84877065744882</v>
      </c>
      <c r="N83" s="2197"/>
      <c r="O83" s="2197"/>
      <c r="P83" s="2197"/>
      <c r="Q83" s="2367" t="s">
        <v>1160</v>
      </c>
      <c r="R83" s="2197"/>
      <c r="S83" s="2197"/>
      <c r="T83" s="2197"/>
      <c r="U83" s="2197"/>
      <c r="V83" s="2197"/>
      <c r="W83" s="2197"/>
      <c r="X83" s="2197"/>
      <c r="Y83" s="2197"/>
      <c r="Z83" s="2197"/>
    </row>
    <row r="84" spans="1:26" ht="12.75">
      <c r="A84" s="1081" t="s">
        <v>579</v>
      </c>
      <c r="B84" s="1099"/>
      <c r="C84" s="1062"/>
      <c r="D84" s="1062"/>
      <c r="E84" s="1062"/>
      <c r="F84" s="1062"/>
      <c r="G84" s="1072"/>
      <c r="H84" s="1255"/>
      <c r="I84" s="1256"/>
      <c r="J84" s="1492"/>
      <c r="K84" s="1115"/>
      <c r="L84" s="1115"/>
      <c r="M84" s="2356">
        <f>((Motpart!D21+Motpart!E21+Motpart!F21+Motpart!J21)-(Motpart!D21+Motpart!E21+Motpart!F21+Motpart!J21)*0.06)*1000000/J72</f>
        <v>739.15270189679666</v>
      </c>
      <c r="N84" s="2197"/>
      <c r="O84" s="2197"/>
      <c r="P84" s="2197"/>
      <c r="Q84" s="2367" t="s">
        <v>877</v>
      </c>
      <c r="R84" s="2197"/>
      <c r="S84" s="2197"/>
      <c r="T84" s="2197"/>
      <c r="U84" s="2197"/>
      <c r="V84" s="2197"/>
      <c r="W84" s="2197"/>
      <c r="X84" s="2197"/>
      <c r="Y84" s="2197"/>
      <c r="Z84" s="2197"/>
    </row>
    <row r="85" spans="1:26" ht="13.5" thickBot="1">
      <c r="A85" s="1102"/>
      <c r="B85" s="1109"/>
      <c r="C85" s="1818" t="str">
        <f>IF(ABS(C81)&lt;100,"",IF(C72=0,"C72",IF(ABS(C81/C72)&gt;0.01,"C81")))</f>
        <v/>
      </c>
      <c r="D85" s="1819"/>
      <c r="E85" s="1819" t="str">
        <f>IF(ABS(E81)&lt;100,"",IF(E72=0,"E72",IF(ABS(E81/E72)&gt;0.01,"E81")))</f>
        <v/>
      </c>
      <c r="F85" s="1819"/>
      <c r="G85" s="1820" t="str">
        <f>IF(ABS(G81)&lt;100,"",IF(G72=0,"G72",IF(ABS(G81/G72)&gt;0.01,"G81")))</f>
        <v/>
      </c>
      <c r="H85" s="153"/>
      <c r="I85" s="1114"/>
      <c r="J85" s="1493"/>
      <c r="K85" s="1112"/>
      <c r="L85" s="1115"/>
      <c r="M85" s="2357"/>
      <c r="N85" s="2197"/>
      <c r="O85" s="2197"/>
      <c r="P85" s="2197"/>
      <c r="Q85" s="2369" t="s">
        <v>508</v>
      </c>
      <c r="R85" s="2197"/>
      <c r="S85" s="2197"/>
      <c r="T85" s="2197"/>
      <c r="U85" s="2197"/>
      <c r="V85" s="2197"/>
      <c r="W85" s="2197"/>
      <c r="X85" s="2197"/>
      <c r="Y85" s="2197"/>
      <c r="Z85" s="2197"/>
    </row>
    <row r="86" spans="1:26" ht="12.75" customHeight="1">
      <c r="A86" s="1086" t="s">
        <v>420</v>
      </c>
      <c r="B86" s="1095" t="s">
        <v>548</v>
      </c>
      <c r="C86" s="165">
        <f>Drift!P60</f>
        <v>1697.6449999999998</v>
      </c>
      <c r="D86" s="82">
        <f>SUM(Motpart!D22:L22)</f>
        <v>493.33899999999994</v>
      </c>
      <c r="E86" s="164">
        <f>Drift!W60</f>
        <v>271.44499999999999</v>
      </c>
      <c r="F86" s="82">
        <f>Motpart!Y22</f>
        <v>64.576999999999998</v>
      </c>
      <c r="G86" s="131">
        <f>Drift!V60</f>
        <v>66.647999999999996</v>
      </c>
      <c r="H86" s="155"/>
      <c r="I86" s="1117" t="s">
        <v>540</v>
      </c>
      <c r="J86" s="1491">
        <v>6018339</v>
      </c>
      <c r="K86" s="1118"/>
      <c r="L86" s="1118"/>
      <c r="M86" s="2363">
        <f>SUM(M87:M91)</f>
        <v>188.19943509330398</v>
      </c>
      <c r="N86" s="2197"/>
      <c r="O86" s="2197"/>
      <c r="P86" s="2197"/>
      <c r="Q86" s="2367" t="s">
        <v>878</v>
      </c>
      <c r="R86" s="2197"/>
      <c r="S86" s="2197"/>
      <c r="T86" s="2197"/>
      <c r="U86" s="2197"/>
      <c r="V86" s="2197"/>
      <c r="W86" s="2197"/>
      <c r="X86" s="2197"/>
      <c r="Y86" s="2197"/>
      <c r="Z86" s="2197"/>
    </row>
    <row r="87" spans="1:26" ht="12.75" customHeight="1">
      <c r="A87" s="1081" t="s">
        <v>421</v>
      </c>
      <c r="B87" s="1096" t="s">
        <v>504</v>
      </c>
      <c r="C87" s="268">
        <v>655.88599999999997</v>
      </c>
      <c r="D87" s="1073"/>
      <c r="E87" s="246">
        <v>9.8859999999999992</v>
      </c>
      <c r="F87" s="1065"/>
      <c r="G87" s="267">
        <v>5.9820000000000002</v>
      </c>
      <c r="H87" s="154"/>
      <c r="I87" s="1119"/>
      <c r="J87" s="1494"/>
      <c r="K87" s="1115"/>
      <c r="L87" s="1115"/>
      <c r="M87" s="2361">
        <f>(C87-E87)*1000000/J86</f>
        <v>107.33858627770886</v>
      </c>
      <c r="N87" s="2197"/>
      <c r="O87" s="2197"/>
      <c r="P87" s="2197"/>
      <c r="Q87" s="2367" t="s">
        <v>879</v>
      </c>
      <c r="R87" s="2197"/>
      <c r="S87" s="2197"/>
      <c r="T87" s="2197"/>
      <c r="U87" s="2197"/>
      <c r="V87" s="2197"/>
      <c r="W87" s="2197"/>
      <c r="X87" s="2197"/>
      <c r="Y87" s="2197"/>
      <c r="Z87" s="2197"/>
    </row>
    <row r="88" spans="1:26" ht="12.75" customHeight="1">
      <c r="A88" s="1081" t="s">
        <v>422</v>
      </c>
      <c r="B88" s="1096" t="s">
        <v>846</v>
      </c>
      <c r="C88" s="268">
        <v>30.731000000000002</v>
      </c>
      <c r="D88" s="1073"/>
      <c r="E88" s="246">
        <v>0.81699999999999995</v>
      </c>
      <c r="F88" s="1065"/>
      <c r="G88" s="267">
        <v>0.218</v>
      </c>
      <c r="H88" s="154"/>
      <c r="I88" s="1119"/>
      <c r="J88" s="1494"/>
      <c r="K88" s="1115"/>
      <c r="L88" s="1115"/>
      <c r="M88" s="2361">
        <f>(C88-E88)*1000000/J86</f>
        <v>4.970474411627527</v>
      </c>
      <c r="N88" s="2197"/>
      <c r="O88" s="2197"/>
      <c r="P88" s="2197"/>
      <c r="Q88" s="2367" t="s">
        <v>880</v>
      </c>
      <c r="R88" s="2197"/>
      <c r="S88" s="2197"/>
      <c r="T88" s="2197"/>
      <c r="U88" s="2197"/>
      <c r="V88" s="2197"/>
      <c r="W88" s="2197"/>
      <c r="X88" s="2197"/>
      <c r="Y88" s="2197"/>
      <c r="Z88" s="2197"/>
    </row>
    <row r="89" spans="1:26" ht="15.75" customHeight="1">
      <c r="A89" s="1081" t="s">
        <v>423</v>
      </c>
      <c r="B89" s="1106" t="s">
        <v>758</v>
      </c>
      <c r="C89" s="268">
        <v>6.7830000000000004</v>
      </c>
      <c r="D89" s="1073"/>
      <c r="E89" s="246">
        <v>1E-3</v>
      </c>
      <c r="F89" s="1065"/>
      <c r="G89" s="267">
        <v>0</v>
      </c>
      <c r="H89" s="154"/>
      <c r="I89" s="1120"/>
      <c r="J89" s="1495"/>
      <c r="K89" s="1121"/>
      <c r="L89" s="1121"/>
      <c r="M89" s="2361">
        <f>(C89-E89)*1000000/J86</f>
        <v>1.1268889971136555</v>
      </c>
      <c r="N89" s="2197"/>
      <c r="O89" s="2197"/>
      <c r="P89" s="2197"/>
      <c r="Q89" s="2367" t="s">
        <v>881</v>
      </c>
      <c r="R89" s="2197"/>
      <c r="S89" s="2197"/>
      <c r="T89" s="2197"/>
      <c r="U89" s="2197"/>
      <c r="V89" s="2197"/>
      <c r="W89" s="2197"/>
      <c r="X89" s="2197"/>
      <c r="Y89" s="2197"/>
      <c r="Z89" s="2197"/>
    </row>
    <row r="90" spans="1:26" ht="12.75" customHeight="1">
      <c r="A90" s="1081" t="s">
        <v>424</v>
      </c>
      <c r="B90" s="1098" t="s">
        <v>539</v>
      </c>
      <c r="C90" s="268">
        <v>163.98699999999999</v>
      </c>
      <c r="D90" s="1073" t="str">
        <f>IF(C86=0,"",IF(OR(C90&lt;=Drift!I60+Drift!J60+Drift!L60,C90&gt;=((Drift!I60+Drift!J60+Drift!L60)*1.5)),"Kontrollera",""))</f>
        <v/>
      </c>
      <c r="E90" s="246">
        <v>0.65300000000000002</v>
      </c>
      <c r="F90" s="1065"/>
      <c r="G90" s="267">
        <v>0.13600000000000001</v>
      </c>
      <c r="H90" s="154"/>
      <c r="I90" s="2568" t="str">
        <f>IF(SUM(E91-G91+100)&lt;Motpart!AA22,"I Motparten är statsbidragen "&amp;""&amp;(Motpart!AA22)&amp;" tkr. Alla bidrag från staten o statliga myndigheter, inklusive de från Migrationsverket, ska ingå under Övrigt som extern intäkt. De externa intäkterna på Övrigt-raden är dock bara "&amp;""&amp;(ROUND(E91-G91,0))&amp;" tkr. ","")</f>
        <v/>
      </c>
      <c r="J90" s="1958"/>
      <c r="K90" s="1958"/>
      <c r="L90" s="2352"/>
      <c r="M90" s="2361">
        <f>(C90-E90)*1000000/J86</f>
        <v>27.139381812822442</v>
      </c>
      <c r="N90" s="2197"/>
      <c r="O90" s="2197"/>
      <c r="P90" s="2197"/>
      <c r="Q90" s="2367" t="s">
        <v>882</v>
      </c>
      <c r="R90" s="2197"/>
      <c r="S90" s="2197"/>
      <c r="T90" s="2197"/>
      <c r="U90" s="2197"/>
      <c r="V90" s="2197"/>
      <c r="W90" s="2197"/>
      <c r="X90" s="2197"/>
      <c r="Y90" s="2197"/>
      <c r="Z90" s="2197"/>
    </row>
    <row r="91" spans="1:26" ht="12.75" customHeight="1">
      <c r="A91" s="1081" t="s">
        <v>425</v>
      </c>
      <c r="B91" s="1096" t="s">
        <v>455</v>
      </c>
      <c r="C91" s="268">
        <v>303.22300000000001</v>
      </c>
      <c r="D91" s="1073"/>
      <c r="E91" s="246">
        <v>176.88900000000001</v>
      </c>
      <c r="F91" s="1065"/>
      <c r="G91" s="267">
        <v>60.311999999999998</v>
      </c>
      <c r="H91" s="154"/>
      <c r="I91" s="2567"/>
      <c r="J91" s="1958"/>
      <c r="K91" s="1958"/>
      <c r="L91" s="2352"/>
      <c r="M91" s="2361">
        <f>(C91+C92-G91)*1000000/J86</f>
        <v>47.62410359403151</v>
      </c>
      <c r="N91" s="2197"/>
      <c r="O91" s="2197"/>
      <c r="P91" s="2197"/>
      <c r="Q91" s="2367" t="s">
        <v>883</v>
      </c>
      <c r="R91" s="2197"/>
      <c r="S91" s="2197"/>
      <c r="T91" s="2197"/>
      <c r="U91" s="2197"/>
      <c r="V91" s="2197"/>
      <c r="W91" s="2197"/>
      <c r="X91" s="2197"/>
      <c r="Y91" s="2197"/>
      <c r="Z91" s="2197"/>
    </row>
    <row r="92" spans="1:26" ht="12.75" customHeight="1">
      <c r="A92" s="1081" t="s">
        <v>426</v>
      </c>
      <c r="B92" s="1110" t="s">
        <v>503</v>
      </c>
      <c r="C92" s="268">
        <v>43.707000000000001</v>
      </c>
      <c r="D92" s="2176" t="str">
        <f>IF(OR(C92 &gt; SUM(Drift!N60+Drift!O60+100), C92 &lt; SUM(Drift!N60+Drift!O60-100)),"Fördelad gemensam verksamhet skiljer sig mot Driftfliken.","")</f>
        <v/>
      </c>
      <c r="E92" s="1073"/>
      <c r="F92" s="1073"/>
      <c r="G92" s="1075"/>
      <c r="H92" s="154"/>
      <c r="I92" s="2567"/>
      <c r="J92" s="1958"/>
      <c r="K92" s="1958"/>
      <c r="L92" s="2352"/>
      <c r="M92" s="2364"/>
      <c r="N92" s="2197"/>
      <c r="O92" s="2197"/>
      <c r="P92" s="2197"/>
      <c r="Q92" s="2370"/>
      <c r="R92" s="2197"/>
      <c r="S92" s="2197"/>
      <c r="T92" s="2197"/>
      <c r="U92" s="2197"/>
      <c r="V92" s="2197"/>
      <c r="W92" s="2197"/>
      <c r="X92" s="2197"/>
      <c r="Y92" s="2197"/>
      <c r="Z92" s="2197"/>
    </row>
    <row r="93" spans="1:26" ht="12.75" customHeight="1">
      <c r="A93" s="1081"/>
      <c r="B93" s="1110" t="s">
        <v>129</v>
      </c>
      <c r="C93" s="1250">
        <f>(C86-SUM(C87:C92)-D86)*-1</f>
        <v>1.1000000000194632E-2</v>
      </c>
      <c r="D93" s="1077"/>
      <c r="E93" s="1251">
        <f>(E86-SUM(E87:E91)-F86-SUM(Motpart!D22+Motpart!E22+Motpart!F22+Motpart!J22)*0.06)*-1</f>
        <v>8.0600000000110583E-3</v>
      </c>
      <c r="F93" s="1077"/>
      <c r="G93" s="1252">
        <f>(G86-SUM(G87:G91))*-1</f>
        <v>0</v>
      </c>
      <c r="H93" s="152"/>
      <c r="I93" s="2567"/>
      <c r="J93" s="1958"/>
      <c r="K93" s="1958"/>
      <c r="L93" s="2352"/>
      <c r="M93" s="2364"/>
      <c r="N93" s="2197"/>
      <c r="O93" s="2197"/>
      <c r="P93" s="2197"/>
      <c r="Q93" s="2367" t="s">
        <v>509</v>
      </c>
      <c r="R93" s="2197"/>
      <c r="S93" s="2197"/>
      <c r="T93" s="2197"/>
      <c r="U93" s="2197"/>
      <c r="V93" s="2197"/>
      <c r="W93" s="2197"/>
      <c r="X93" s="2197"/>
      <c r="Y93" s="2197"/>
      <c r="Z93" s="2197"/>
    </row>
    <row r="94" spans="1:26" ht="16.5" customHeight="1" thickBot="1">
      <c r="A94" s="1102"/>
      <c r="B94" s="1103"/>
      <c r="C94" s="1818" t="str">
        <f>IF(ABS(C93)&lt;100,"",IF(C86=0,"C86",IF(ABS(C93/C86)&gt;0.01,"C93")))</f>
        <v/>
      </c>
      <c r="D94" s="1819"/>
      <c r="E94" s="1819" t="str">
        <f>IF(ABS(E93)&lt;100,"",IF(E86=0,"E86",IF(ABS(E93/E86)&gt;0.01,"E93")))</f>
        <v/>
      </c>
      <c r="F94" s="1819"/>
      <c r="G94" s="1820" t="str">
        <f>IF(ABS(G93)&lt;100,"",IF(G86=0,"G86",IF(ABS(G93/G86)&gt;0.01,"G93")))</f>
        <v/>
      </c>
      <c r="H94" s="168"/>
      <c r="I94" s="2569"/>
      <c r="J94" s="1966"/>
      <c r="K94" s="1966"/>
      <c r="L94" s="1966"/>
      <c r="M94" s="2365"/>
      <c r="N94" s="2197"/>
      <c r="O94" s="2197"/>
      <c r="P94" s="2197"/>
      <c r="Q94" s="2369"/>
      <c r="R94" s="2197"/>
      <c r="S94" s="2197"/>
      <c r="T94" s="2197"/>
      <c r="U94" s="2197"/>
      <c r="V94" s="2197"/>
      <c r="W94" s="2197"/>
      <c r="X94" s="2197"/>
      <c r="Y94" s="2197"/>
      <c r="Z94" s="2197"/>
    </row>
    <row r="95" spans="1:26" ht="12.75" customHeight="1">
      <c r="A95" s="1086" t="s">
        <v>427</v>
      </c>
      <c r="B95" s="1095" t="s">
        <v>549</v>
      </c>
      <c r="C95" s="81">
        <f>Drift!P61</f>
        <v>6470.8809999999994</v>
      </c>
      <c r="D95" s="1078">
        <f>SUM(Motpart!D23:L23)</f>
        <v>2565.364</v>
      </c>
      <c r="E95" s="164">
        <f>Drift!W61</f>
        <v>3738.5749999999998</v>
      </c>
      <c r="F95" s="82">
        <f>Motpart!Y23</f>
        <v>390.22899999999998</v>
      </c>
      <c r="G95" s="131">
        <f>Drift!V61</f>
        <v>377.94099999999997</v>
      </c>
      <c r="H95" s="155"/>
      <c r="I95" s="1117" t="s">
        <v>540</v>
      </c>
      <c r="J95" s="1491">
        <v>6018339</v>
      </c>
      <c r="K95" s="1118"/>
      <c r="L95" s="1118"/>
      <c r="M95" s="2363">
        <f>SUM(M96:M100)</f>
        <v>571.81740676289587</v>
      </c>
      <c r="N95" s="2197"/>
      <c r="O95" s="2197"/>
      <c r="P95" s="2197"/>
      <c r="Q95" s="2367" t="s">
        <v>878</v>
      </c>
      <c r="R95" s="2197"/>
      <c r="S95" s="2197"/>
      <c r="T95" s="2197"/>
      <c r="U95" s="2197"/>
      <c r="V95" s="2197"/>
      <c r="W95" s="2197"/>
      <c r="X95" s="2197"/>
      <c r="Y95" s="2197"/>
      <c r="Z95" s="2197"/>
    </row>
    <row r="96" spans="1:26" ht="12.75" customHeight="1">
      <c r="A96" s="1081" t="s">
        <v>428</v>
      </c>
      <c r="B96" s="1096" t="s">
        <v>504</v>
      </c>
      <c r="C96" s="268">
        <v>1920.364</v>
      </c>
      <c r="D96" s="1073"/>
      <c r="E96" s="246">
        <v>156.03200000000001</v>
      </c>
      <c r="F96" s="1065"/>
      <c r="G96" s="267">
        <v>85.171999999999997</v>
      </c>
      <c r="H96" s="154"/>
      <c r="I96" s="1119"/>
      <c r="J96" s="1494"/>
      <c r="K96" s="1115"/>
      <c r="L96" s="1115"/>
      <c r="M96" s="2361">
        <f>(C96-E96)*1000000/J95</f>
        <v>293.15929195746531</v>
      </c>
      <c r="N96" s="2197"/>
      <c r="O96" s="2197"/>
      <c r="P96" s="2197"/>
      <c r="Q96" s="2367" t="s">
        <v>879</v>
      </c>
      <c r="R96" s="2197"/>
      <c r="S96" s="2197"/>
      <c r="T96" s="2197"/>
      <c r="U96" s="2197"/>
      <c r="V96" s="2197"/>
      <c r="W96" s="2197"/>
      <c r="X96" s="2197"/>
      <c r="Y96" s="2197"/>
      <c r="Z96" s="2197"/>
    </row>
    <row r="97" spans="1:26" ht="12.75" customHeight="1">
      <c r="A97" s="1081" t="s">
        <v>429</v>
      </c>
      <c r="B97" s="1096" t="s">
        <v>846</v>
      </c>
      <c r="C97" s="268">
        <v>141.328</v>
      </c>
      <c r="D97" s="1073"/>
      <c r="E97" s="246">
        <v>16.638000000000002</v>
      </c>
      <c r="F97" s="1065"/>
      <c r="G97" s="267">
        <v>9.4290000000000003</v>
      </c>
      <c r="H97" s="152"/>
      <c r="I97" s="1119"/>
      <c r="J97" s="1494"/>
      <c r="K97" s="1115"/>
      <c r="L97" s="1115"/>
      <c r="M97" s="2361">
        <f>(C97-E97)*1000000/J95</f>
        <v>20.718341057225256</v>
      </c>
      <c r="N97" s="2197"/>
      <c r="O97" s="2197"/>
      <c r="P97" s="2197"/>
      <c r="Q97" s="2367" t="s">
        <v>880</v>
      </c>
      <c r="R97" s="2197"/>
      <c r="S97" s="2197"/>
      <c r="T97" s="2197"/>
      <c r="U97" s="2197"/>
      <c r="V97" s="2197"/>
      <c r="W97" s="2197"/>
      <c r="X97" s="2197"/>
      <c r="Y97" s="2197"/>
      <c r="Z97" s="2197"/>
    </row>
    <row r="98" spans="1:26" ht="14.25" customHeight="1">
      <c r="A98" s="1081" t="s">
        <v>430</v>
      </c>
      <c r="B98" s="1097" t="s">
        <v>758</v>
      </c>
      <c r="C98" s="268">
        <v>9.6959999999999997</v>
      </c>
      <c r="D98" s="1073"/>
      <c r="E98" s="246">
        <v>0.751</v>
      </c>
      <c r="F98" s="1065"/>
      <c r="G98" s="267">
        <v>0</v>
      </c>
      <c r="H98" s="150"/>
      <c r="I98" s="1120"/>
      <c r="J98" s="1495"/>
      <c r="K98" s="1121"/>
      <c r="L98" s="1121"/>
      <c r="M98" s="2361">
        <f>(C98-E98)*1000000/J95</f>
        <v>1.4862904864614639</v>
      </c>
      <c r="N98" s="2197"/>
      <c r="O98" s="2197"/>
      <c r="P98" s="2197"/>
      <c r="Q98" s="2367" t="s">
        <v>881</v>
      </c>
      <c r="R98" s="2197"/>
      <c r="S98" s="2197"/>
      <c r="T98" s="2197"/>
      <c r="U98" s="2197"/>
      <c r="V98" s="2197"/>
      <c r="W98" s="2197"/>
      <c r="X98" s="2197"/>
      <c r="Y98" s="2197"/>
      <c r="Z98" s="2197"/>
    </row>
    <row r="99" spans="1:26" ht="15" customHeight="1">
      <c r="A99" s="1081" t="s">
        <v>431</v>
      </c>
      <c r="B99" s="1098" t="s">
        <v>539</v>
      </c>
      <c r="C99" s="268">
        <v>456.31099999999998</v>
      </c>
      <c r="D99" s="1073" t="str">
        <f>IF(C95=0,"",IF(OR(C99&lt;=Drift!I61+Drift!J61+Drift!L61,C99&gt;=((Drift!I61+Drift!J61+Drift!L61)*1.5)),"Kontrollera",""))</f>
        <v/>
      </c>
      <c r="E99" s="246">
        <v>22.32</v>
      </c>
      <c r="F99" s="1065"/>
      <c r="G99" s="267">
        <v>14.962999999999999</v>
      </c>
      <c r="H99" s="154"/>
      <c r="I99" s="2560" t="str">
        <f>IF(SUM(E100-G100+100)&lt;Motpart!AA23,"I Motparten är statsbidragen "&amp;""&amp;(Motpart!AA23)&amp;" tkr. Alla bidrag från staten o statliga myndigheter, inklusive de från Migrationsverket, ska ingå under Övrigt som extern intäkt. De externa intäkterna på Övrigt-raden är dock bara "&amp;""&amp;(ROUND(E100-G100,0))&amp;" tkr. ","")</f>
        <v/>
      </c>
      <c r="J99" s="1967"/>
      <c r="K99" s="1967"/>
      <c r="L99" s="2353"/>
      <c r="M99" s="2361">
        <f>(C99-E99)*1000000/J95</f>
        <v>72.111424763543567</v>
      </c>
      <c r="N99" s="2197"/>
      <c r="O99" s="2197"/>
      <c r="P99" s="2197"/>
      <c r="Q99" s="2367" t="s">
        <v>882</v>
      </c>
      <c r="R99" s="2197"/>
      <c r="S99" s="2197"/>
      <c r="T99" s="2197"/>
      <c r="U99" s="2197"/>
      <c r="V99" s="2197"/>
      <c r="W99" s="2197"/>
      <c r="X99" s="2197"/>
      <c r="Y99" s="2197"/>
      <c r="Z99" s="2197"/>
    </row>
    <row r="100" spans="1:26" ht="12.75" customHeight="1">
      <c r="A100" s="1081" t="s">
        <v>432</v>
      </c>
      <c r="B100" s="1096" t="s">
        <v>455</v>
      </c>
      <c r="C100" s="268">
        <v>1246.087</v>
      </c>
      <c r="D100" s="1073"/>
      <c r="E100" s="246">
        <v>3042.569</v>
      </c>
      <c r="F100" s="1065"/>
      <c r="G100" s="267">
        <v>268.37700000000001</v>
      </c>
      <c r="H100" s="152"/>
      <c r="I100" s="2561"/>
      <c r="J100" s="1967"/>
      <c r="K100" s="1967"/>
      <c r="L100" s="2353"/>
      <c r="M100" s="2361">
        <f>(C100+C101-G100)*1000000/J95</f>
        <v>184.34205849820026</v>
      </c>
      <c r="N100" s="2197"/>
      <c r="O100" s="2197"/>
      <c r="P100" s="2197"/>
      <c r="Q100" s="2367" t="s">
        <v>883</v>
      </c>
      <c r="R100" s="2197"/>
      <c r="S100" s="2197"/>
      <c r="T100" s="2197"/>
      <c r="U100" s="2197"/>
      <c r="V100" s="2197"/>
      <c r="W100" s="2197"/>
      <c r="X100" s="2197"/>
      <c r="Y100" s="2197"/>
      <c r="Z100" s="2197"/>
    </row>
    <row r="101" spans="1:26" ht="19.5" customHeight="1">
      <c r="A101" s="1081" t="s">
        <v>433</v>
      </c>
      <c r="B101" s="1096" t="s">
        <v>503</v>
      </c>
      <c r="C101" s="268">
        <v>131.72300000000001</v>
      </c>
      <c r="D101" s="2176" t="str">
        <f>IF(OR(C101 &gt; SUM(Drift!N61+Drift!O61+100), C101 &lt; SUM(Drift!N61+Drift!O61-100)),"Fördelad gemensam verksamhet skiljer sig mot Driftfliken.","")</f>
        <v/>
      </c>
      <c r="E101" s="1073"/>
      <c r="F101" s="1073"/>
      <c r="G101" s="1075"/>
      <c r="H101" s="152"/>
      <c r="I101" s="2561"/>
      <c r="J101" s="1967"/>
      <c r="K101" s="1967"/>
      <c r="L101" s="2353"/>
      <c r="M101" s="2364">
        <f>(((M95*J95/1000000)+D95-F95+((M86*J86/1000000)+D86-F86)))/(J86)*1000000</f>
        <v>1192.677248656149</v>
      </c>
      <c r="N101" s="2197"/>
      <c r="O101" s="2197"/>
      <c r="P101" s="2197"/>
      <c r="Q101" s="2367" t="s">
        <v>884</v>
      </c>
      <c r="R101" s="2197"/>
      <c r="S101" s="2197"/>
      <c r="T101" s="2197"/>
      <c r="U101" s="2197"/>
      <c r="V101" s="2197"/>
      <c r="W101" s="2197"/>
      <c r="X101" s="2197"/>
      <c r="Y101" s="2197"/>
      <c r="Z101" s="2197"/>
    </row>
    <row r="102" spans="1:26" ht="15" customHeight="1">
      <c r="A102" s="1806"/>
      <c r="B102" s="1807" t="s">
        <v>129</v>
      </c>
      <c r="C102" s="1808">
        <f>(C95-SUM(C96:C101)-D95)*-1</f>
        <v>-7.9999999993560778E-3</v>
      </c>
      <c r="D102" s="1061"/>
      <c r="E102" s="1809">
        <f>(E95-SUM(E96:E100)-F95-SUM(Motpart!D23+Motpart!E23+Motpart!F23+Motpart!J23)*0.06)*-1</f>
        <v>-2.719999999897027E-3</v>
      </c>
      <c r="F102" s="1061"/>
      <c r="G102" s="1810">
        <f>(G95-SUM(G96:G100))*-1</f>
        <v>5.6843418860808015E-14</v>
      </c>
      <c r="H102" s="1315"/>
      <c r="I102" s="2561"/>
      <c r="J102" s="1958"/>
      <c r="K102" s="1958"/>
      <c r="L102" s="2352"/>
      <c r="M102" s="2364"/>
      <c r="N102" s="2197"/>
      <c r="O102" s="2197"/>
      <c r="P102" s="2197"/>
      <c r="Q102" s="2367" t="s">
        <v>510</v>
      </c>
      <c r="R102" s="2197"/>
      <c r="S102" s="2197"/>
      <c r="T102" s="2197"/>
      <c r="U102" s="2197"/>
      <c r="V102" s="2197"/>
      <c r="W102" s="2197"/>
      <c r="X102" s="2197"/>
      <c r="Y102" s="2197"/>
      <c r="Z102" s="2197"/>
    </row>
    <row r="103" spans="1:26" ht="12.75" customHeight="1" thickBot="1">
      <c r="A103" s="1811"/>
      <c r="B103" s="1812"/>
      <c r="C103" s="1814" t="str">
        <f>IF(ABS(C102)&lt;100,"",IF(C95=0,"C95",IF(ABS(C102/C95)&gt;0.01,"C102")))</f>
        <v/>
      </c>
      <c r="D103" s="1815"/>
      <c r="E103" s="1816" t="str">
        <f>IF(ABS(E102)&lt;100,"",IF(E95=0,"E95",IF(ABS(E102/E95)&gt;0.01,"E102")))</f>
        <v/>
      </c>
      <c r="F103" s="1815"/>
      <c r="G103" s="1817" t="str">
        <f>IF(ABS(G102)&lt;100,"",IF(G95=0,"G95",IF(ABS(G102/G95)&gt;0.01,"G102")))</f>
        <v/>
      </c>
      <c r="H103" s="1813"/>
      <c r="I103" s="1959"/>
      <c r="J103" s="1959"/>
      <c r="K103" s="1959"/>
      <c r="L103" s="1959"/>
      <c r="M103" s="2366"/>
      <c r="N103" s="2197"/>
      <c r="O103" s="2197"/>
      <c r="P103" s="2197"/>
      <c r="Q103" s="2371"/>
      <c r="R103" s="2197"/>
      <c r="S103" s="2197"/>
      <c r="T103" s="2197"/>
      <c r="U103" s="2197"/>
      <c r="V103" s="2197"/>
      <c r="W103" s="2197"/>
      <c r="X103" s="2197"/>
      <c r="Y103" s="2197"/>
      <c r="Z103" s="2197"/>
    </row>
    <row r="104" spans="1:26" ht="13.5" thickTop="1">
      <c r="A104" s="143"/>
      <c r="B104" s="258"/>
      <c r="C104" s="259"/>
      <c r="D104" s="259"/>
      <c r="E104" s="259"/>
      <c r="F104" s="259"/>
      <c r="G104" s="259"/>
      <c r="H104" s="260"/>
      <c r="I104" s="259"/>
      <c r="J104" s="259"/>
      <c r="K104" s="259"/>
      <c r="L104" s="219"/>
      <c r="M104" s="261"/>
      <c r="N104" s="261"/>
      <c r="O104" s="261"/>
      <c r="P104" s="262"/>
      <c r="Q104" s="263"/>
      <c r="R104" s="2197"/>
      <c r="S104" s="2197"/>
      <c r="T104" s="2197"/>
      <c r="U104" s="2197"/>
      <c r="V104" s="2197"/>
      <c r="W104" s="2197"/>
      <c r="X104" s="2197"/>
      <c r="Y104" s="2197"/>
      <c r="Z104" s="2197"/>
    </row>
  </sheetData>
  <sheetProtection algorithmName="SHA-512" hashValue="XmmKLS80I/5Jj1eaer9eOk00W4O1JIg61ex/b9/vgzeX7150fzcVEptoLSdXmTf1mwMAsL9Aj0XvrKXyWZpugQ==" saltValue="SVTOGgsXcwtfaWyTBN1VKw==" spinCount="100000" sheet="1" objects="1" scenarios="1"/>
  <customSheetViews>
    <customSheetView guid="{97D6DB71-3F4C-4C5F-8C5B-51E3EBF78932}" showPageBreaks="1" showGridLines="0" hiddenRows="1">
      <pane ySplit="7" topLeftCell="A8" activePane="bottomLeft" state="frozen"/>
      <selection pane="bottomLeft" activeCell="E93" sqref="E93"/>
      <pageMargins left="0.70866141732283472" right="0.70866141732283472" top="0.74803149606299213" bottom="0.74803149606299213" header="0.31496062992125984" footer="0.31496062992125984"/>
      <pageSetup paperSize="9" scale="96" orientation="landscape" r:id="rId1"/>
    </customSheetView>
    <customSheetView guid="{99FBDEB7-DD08-4F57-81F4-3C180403E153}" showGridLines="0" hiddenRows="1">
      <pane ySplit="7" topLeftCell="A9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scale="96" orientation="landscape" r:id="rId2"/>
    </customSheetView>
    <customSheetView guid="{27C9E95B-0E2B-454F-B637-1CECC9579A10}" showGridLines="0" hiddenRows="1" hiddenColumns="1" showRuler="0">
      <pane ySplit="7" topLeftCell="A8" activePane="bottomLeft" state="frozen"/>
      <selection pane="bottomLeft" activeCell="G72" sqref="G72"/>
      <pageMargins left="0.70866141732283472" right="0.70866141732283472" top="0.74803149606299213" bottom="0.74803149606299213" header="0.31496062992125984" footer="0.31496062992125984"/>
      <pageSetup paperSize="9" scale="96" orientation="landscape" r:id="rId3"/>
      <headerFooter alignWithMargins="0"/>
    </customSheetView>
  </customSheetViews>
  <mergeCells count="13">
    <mergeCell ref="IV6:IV7"/>
    <mergeCell ref="Q4:Q7"/>
    <mergeCell ref="M4:M6"/>
    <mergeCell ref="D5:D7"/>
    <mergeCell ref="F5:F7"/>
    <mergeCell ref="G5:G7"/>
    <mergeCell ref="I4:L5"/>
    <mergeCell ref="I99:I102"/>
    <mergeCell ref="I38:I42"/>
    <mergeCell ref="I51:I55"/>
    <mergeCell ref="I65:I69"/>
    <mergeCell ref="I79:I83"/>
    <mergeCell ref="I90:I94"/>
  </mergeCells>
  <phoneticPr fontId="86" type="noConversion"/>
  <conditionalFormatting sqref="G32:G38 G45:G51 G59:G65 G73:G79 G87:G91 G96:G100">
    <cfRule type="expression" dxfId="63" priority="82" stopIfTrue="1">
      <formula>G32&gt;E32</formula>
    </cfRule>
  </conditionalFormatting>
  <conditionalFormatting sqref="G11 G19 G27 G32:G38 G45:G51 G59:G65">
    <cfRule type="expression" dxfId="62" priority="81" stopIfTrue="1">
      <formula>G11&gt;E11</formula>
    </cfRule>
  </conditionalFormatting>
  <conditionalFormatting sqref="G46:G51">
    <cfRule type="expression" dxfId="61" priority="70" stopIfTrue="1">
      <formula>G46&gt;E46</formula>
    </cfRule>
  </conditionalFormatting>
  <conditionalFormatting sqref="E53">
    <cfRule type="expression" dxfId="60" priority="39" stopIfTrue="1">
      <formula>ABS(E53/E43)&gt;0.03</formula>
    </cfRule>
  </conditionalFormatting>
  <conditionalFormatting sqref="G27">
    <cfRule type="expression" dxfId="59" priority="11" stopIfTrue="1">
      <formula>G27&gt;G24</formula>
    </cfRule>
    <cfRule type="expression" dxfId="58" priority="45" stopIfTrue="1">
      <formula>G27&gt;E27</formula>
    </cfRule>
  </conditionalFormatting>
  <conditionalFormatting sqref="G19">
    <cfRule type="expression" dxfId="57" priority="19" stopIfTrue="1">
      <formula>G19&gt;G16</formula>
    </cfRule>
    <cfRule type="expression" dxfId="56" priority="44" stopIfTrue="1">
      <formula>G19&gt;E19</formula>
    </cfRule>
  </conditionalFormatting>
  <conditionalFormatting sqref="C40">
    <cfRule type="expression" dxfId="55" priority="42" stopIfTrue="1">
      <formula>ABS(C40/C31)&gt;0.03</formula>
    </cfRule>
  </conditionalFormatting>
  <conditionalFormatting sqref="E40">
    <cfRule type="expression" dxfId="54" priority="41" stopIfTrue="1">
      <formula>ABS(E40/E31)&gt;0.03</formula>
    </cfRule>
  </conditionalFormatting>
  <conditionalFormatting sqref="G40">
    <cfRule type="expression" dxfId="53" priority="40" stopIfTrue="1">
      <formula>ABS(G40/G31)&gt;0.03</formula>
    </cfRule>
  </conditionalFormatting>
  <conditionalFormatting sqref="G53">
    <cfRule type="expression" dxfId="52" priority="38" stopIfTrue="1">
      <formula>ABS(G53/G43)&gt;0.03</formula>
    </cfRule>
  </conditionalFormatting>
  <conditionalFormatting sqref="C53">
    <cfRule type="expression" dxfId="51" priority="37" stopIfTrue="1">
      <formula>ABS(C53/C44)&gt;0.03</formula>
    </cfRule>
  </conditionalFormatting>
  <conditionalFormatting sqref="C67">
    <cfRule type="expression" dxfId="50" priority="36" stopIfTrue="1">
      <formula>ABS(C67/C57)&gt;0.03</formula>
    </cfRule>
  </conditionalFormatting>
  <conditionalFormatting sqref="E67">
    <cfRule type="expression" dxfId="49" priority="35" stopIfTrue="1">
      <formula>ABS(E67/E57)&gt;0.03</formula>
    </cfRule>
  </conditionalFormatting>
  <conditionalFormatting sqref="G67">
    <cfRule type="expression" dxfId="48" priority="34" stopIfTrue="1">
      <formula>ABS(G67/G57)&gt;0.03</formula>
    </cfRule>
  </conditionalFormatting>
  <conditionalFormatting sqref="C81">
    <cfRule type="expression" dxfId="47" priority="33" stopIfTrue="1">
      <formula>ABS(C81/C71)&gt;0.03</formula>
    </cfRule>
  </conditionalFormatting>
  <conditionalFormatting sqref="E81">
    <cfRule type="expression" dxfId="46" priority="32" stopIfTrue="1">
      <formula>ABS(E81/E71)&gt;0.03</formula>
    </cfRule>
  </conditionalFormatting>
  <conditionalFormatting sqref="G81">
    <cfRule type="expression" dxfId="45" priority="31" stopIfTrue="1">
      <formula>ABS(G81/G71)&gt;0.03</formula>
    </cfRule>
  </conditionalFormatting>
  <conditionalFormatting sqref="C93">
    <cfRule type="expression" dxfId="44" priority="30" stopIfTrue="1">
      <formula>ABS(C93/C85)&gt;0.03</formula>
    </cfRule>
  </conditionalFormatting>
  <conditionalFormatting sqref="E93">
    <cfRule type="expression" dxfId="43" priority="29" stopIfTrue="1">
      <formula>ABS(E93/E85)&gt;0.03</formula>
    </cfRule>
  </conditionalFormatting>
  <conditionalFormatting sqref="G93">
    <cfRule type="expression" dxfId="42" priority="28" stopIfTrue="1">
      <formula>ABS(G93/G85)&gt;0.03</formula>
    </cfRule>
  </conditionalFormatting>
  <conditionalFormatting sqref="C102:C103">
    <cfRule type="expression" dxfId="41" priority="27" stopIfTrue="1">
      <formula>ABS(C102/C94)&gt;0.03</formula>
    </cfRule>
  </conditionalFormatting>
  <conditionalFormatting sqref="E102:E103">
    <cfRule type="expression" dxfId="40" priority="26" stopIfTrue="1">
      <formula>ABS(E102/E94)&gt;0.03</formula>
    </cfRule>
  </conditionalFormatting>
  <conditionalFormatting sqref="G102:G103">
    <cfRule type="expression" dxfId="39" priority="25" stopIfTrue="1">
      <formula>ABS(G102/G94)&gt;0.03</formula>
    </cfRule>
  </conditionalFormatting>
  <conditionalFormatting sqref="C11 E11 E13 G11 G19 E21 E19 C19 C27 E27 G27 C32:C39 E32:E38 G32:G38 C45:C52 E45:E51 G45:G51 C59:C66 E59:E65 G59:G65 C73:C80 E73:E79 G73:G79 C87:C92 E87:E91 G87:G91 C96:C101 E96:E100 G96:G100">
    <cfRule type="cellIs" dxfId="38" priority="23" stopIfTrue="1" operator="lessThan">
      <formula>-500</formula>
    </cfRule>
  </conditionalFormatting>
  <conditionalFormatting sqref="C19">
    <cfRule type="expression" dxfId="37" priority="21" stopIfTrue="1">
      <formula>C19&gt;C16</formula>
    </cfRule>
  </conditionalFormatting>
  <conditionalFormatting sqref="E19">
    <cfRule type="expression" dxfId="36" priority="20" stopIfTrue="1">
      <formula>E19&gt;E16</formula>
    </cfRule>
  </conditionalFormatting>
  <conditionalFormatting sqref="C11">
    <cfRule type="expression" dxfId="35" priority="18" stopIfTrue="1">
      <formula>C11&gt;C8</formula>
    </cfRule>
  </conditionalFormatting>
  <conditionalFormatting sqref="E11">
    <cfRule type="expression" dxfId="34" priority="17" stopIfTrue="1">
      <formula>E11&gt;E8</formula>
    </cfRule>
  </conditionalFormatting>
  <conditionalFormatting sqref="G11">
    <cfRule type="expression" dxfId="33" priority="16" stopIfTrue="1">
      <formula>G11&gt;G8</formula>
    </cfRule>
  </conditionalFormatting>
  <conditionalFormatting sqref="E13">
    <cfRule type="expression" dxfId="32" priority="15" stopIfTrue="1">
      <formula>E13&gt;E12</formula>
    </cfRule>
  </conditionalFormatting>
  <conditionalFormatting sqref="E21">
    <cfRule type="expression" dxfId="31" priority="14" stopIfTrue="1">
      <formula>E21&gt;E20</formula>
    </cfRule>
  </conditionalFormatting>
  <conditionalFormatting sqref="C27">
    <cfRule type="expression" dxfId="30" priority="13" stopIfTrue="1">
      <formula>C27&gt;C24</formula>
    </cfRule>
  </conditionalFormatting>
  <conditionalFormatting sqref="E27">
    <cfRule type="expression" dxfId="29" priority="12" stopIfTrue="1">
      <formula>E27&gt;E24</formula>
    </cfRule>
  </conditionalFormatting>
  <dataValidations count="2">
    <dataValidation type="decimal" operator="lessThan" allowBlank="1" showInputMessage="1" showErrorMessage="1" error="Beloppen ska vara i 1000 tal kronor" sqref="C65489:C65490 G65517:K65517 L65533 C65480:C65482 C65464:C65465 E65464:F65465 E65472:F65473 C65472:C65473 E65480:F65482 E65489:F65490" xr:uid="{00000000-0002-0000-0800-000000000000}">
      <formula1>99999999</formula1>
    </dataValidation>
    <dataValidation type="decimal" operator="lessThan" allowBlank="1" showInputMessage="1" showErrorMessage="1" error="Beloppet ska vara i 1000 tal kronor" sqref="C11 G96:G100 E96:E100 E11 G87:G91 E87:E91 C87:C92 G73:G79 E73:E79 C73:C80 G59:G65 E59:E65 C59:C66 G45:G51 E45:E51 C45:C52 G32:G38 E32:E38 C32:C39 G27 E27 C27 C19 E21 E19 G19 G11 E13 C96:C101" xr:uid="{00000000-0002-0000-0800-000001000000}">
      <formula1>99999999</formula1>
    </dataValidation>
  </dataValidations>
  <pageMargins left="0.47" right="0.47" top="0.74803149606299213" bottom="0.74803149606299213" header="0.31" footer="0.31496062992125984"/>
  <pageSetup paperSize="9" scale="96" orientation="landscape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28489C6D-3605-44EB-AF30-2D3BD554AD4E}">
            <xm:f>SUM(E51-G51+100)&lt;Motpart!AA19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I51:I55</xm:sqref>
        </x14:conditionalFormatting>
        <x14:conditionalFormatting xmlns:xm="http://schemas.microsoft.com/office/excel/2006/main">
          <x14:cfRule type="expression" priority="6" id="{468A7900-2D84-423B-9B3F-94D8EAA45899}">
            <xm:f>SUM(E65-G65+100)&lt;Motpart!AA20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I65:I69</xm:sqref>
        </x14:conditionalFormatting>
        <x14:conditionalFormatting xmlns:xm="http://schemas.microsoft.com/office/excel/2006/main">
          <x14:cfRule type="expression" priority="5" id="{4F84AA19-49AA-46E8-9ADE-79F22FCE6F07}">
            <xm:f>SUM(E79-G79+100)&lt;Motpart!AA21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I79:I83</xm:sqref>
        </x14:conditionalFormatting>
        <x14:conditionalFormatting xmlns:xm="http://schemas.microsoft.com/office/excel/2006/main">
          <x14:cfRule type="expression" priority="4" id="{FE6AF082-1113-4046-BE7C-F09FCD0440EC}">
            <xm:f>SUM(E91-G91+100)&lt;Motpart!AA22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I90:I94</xm:sqref>
        </x14:conditionalFormatting>
        <x14:conditionalFormatting xmlns:xm="http://schemas.microsoft.com/office/excel/2006/main">
          <x14:cfRule type="expression" priority="2" id="{AA617564-E5DF-4D7E-8EA7-BE3A8CD251A2}">
            <xm:f>SUM(E100-G100+100)&lt;Motpart!AA23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I99:I101</xm:sqref>
        </x14:conditionalFormatting>
        <x14:conditionalFormatting xmlns:xm="http://schemas.microsoft.com/office/excel/2006/main">
          <x14:cfRule type="expression" priority="1" id="{917F4404-C110-4D85-A7BD-AEA4F7FA6FA8}">
            <xm:f>SUM(E38-G38+100)&lt;Motpart!AA18</xm:f>
            <x14:dxf>
              <fill>
                <patternFill>
                  <bgColor theme="9" tint="0.59996337778862885"/>
                </patternFill>
              </fill>
            </x14:dxf>
          </x14:cfRule>
          <xm:sqref>I38:I42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94</vt:i4>
      </vt:variant>
    </vt:vector>
  </HeadingPairs>
  <TitlesOfParts>
    <vt:vector size="105" baseType="lpstr">
      <vt:lpstr>Information</vt:lpstr>
      <vt:lpstr>RR</vt:lpstr>
      <vt:lpstr>BR</vt:lpstr>
      <vt:lpstr>Verks int o kostn</vt:lpstr>
      <vt:lpstr>Skatter, bidrag o fin poster</vt:lpstr>
      <vt:lpstr>Investeringar</vt:lpstr>
      <vt:lpstr>Drift</vt:lpstr>
      <vt:lpstr>Motpart</vt:lpstr>
      <vt:lpstr>Pedagogisk verksamhet</vt:lpstr>
      <vt:lpstr>Äldre o personer funktionsn</vt:lpstr>
      <vt:lpstr>IFO</vt:lpstr>
      <vt:lpstr>'Skatter, bidrag o fin poster'!_GoBack</vt:lpstr>
      <vt:lpstr>Affärsverksamhet</vt:lpstr>
      <vt:lpstr>Balanskravsutredningen</vt:lpstr>
      <vt:lpstr>Barn_o_ungdomsvård</vt:lpstr>
      <vt:lpstr>Barnomsorg</vt:lpstr>
      <vt:lpstr>Bidrag_o_transfer.</vt:lpstr>
      <vt:lpstr>Block_1</vt:lpstr>
      <vt:lpstr>Block_2</vt:lpstr>
      <vt:lpstr>Block_3</vt:lpstr>
      <vt:lpstr>Block_6</vt:lpstr>
      <vt:lpstr>BR</vt:lpstr>
      <vt:lpstr>Drift</vt:lpstr>
      <vt:lpstr>EKchef</vt:lpstr>
      <vt:lpstr>Ekcheftel</vt:lpstr>
      <vt:lpstr>Epost1RS</vt:lpstr>
      <vt:lpstr>Epost2RS</vt:lpstr>
      <vt:lpstr>Epostaldre</vt:lpstr>
      <vt:lpstr>EpostAO</vt:lpstr>
      <vt:lpstr>EpostEkchef</vt:lpstr>
      <vt:lpstr>Epostforskola</vt:lpstr>
      <vt:lpstr>Epostgrund</vt:lpstr>
      <vt:lpstr>Epostgymn</vt:lpstr>
      <vt:lpstr>Eposthandik</vt:lpstr>
      <vt:lpstr>Epostifo</vt:lpstr>
      <vt:lpstr>EpostPV</vt:lpstr>
      <vt:lpstr>epostpvchef</vt:lpstr>
      <vt:lpstr>epostvochef</vt:lpstr>
      <vt:lpstr>Epostvux</vt:lpstr>
      <vt:lpstr>Extraordinära_RR</vt:lpstr>
      <vt:lpstr>Familjerätt</vt:lpstr>
      <vt:lpstr>Fritidshem</vt:lpstr>
      <vt:lpstr>Funktionsnedsättning</vt:lpstr>
      <vt:lpstr>Förskola</vt:lpstr>
      <vt:lpstr>Förskoleklass</vt:lpstr>
      <vt:lpstr>Förändring_anläggningstillgångar</vt:lpstr>
      <vt:lpstr>Grundskola</vt:lpstr>
      <vt:lpstr>Grundsärskola</vt:lpstr>
      <vt:lpstr>Grundvux</vt:lpstr>
      <vt:lpstr>Gymnasieskola</vt:lpstr>
      <vt:lpstr>Gymnasiesärskola</vt:lpstr>
      <vt:lpstr>Gymnvux</vt:lpstr>
      <vt:lpstr>inv7_15</vt:lpstr>
      <vt:lpstr>invanare</vt:lpstr>
      <vt:lpstr>Investeringar</vt:lpstr>
      <vt:lpstr>Invånare</vt:lpstr>
      <vt:lpstr>Jämförelsestörande_RR</vt:lpstr>
      <vt:lpstr>Kontaktpers1RS</vt:lpstr>
      <vt:lpstr>Kontaktpers2RS</vt:lpstr>
      <vt:lpstr>Kontaktpersaldre</vt:lpstr>
      <vt:lpstr>KontaktpersAO</vt:lpstr>
      <vt:lpstr>Kontaktpersforskola</vt:lpstr>
      <vt:lpstr>Kontaktpersgrund</vt:lpstr>
      <vt:lpstr>Kontaktpersgymn</vt:lpstr>
      <vt:lpstr>Kontaktpershandik</vt:lpstr>
      <vt:lpstr>Kontaktpersifo</vt:lpstr>
      <vt:lpstr>KontaktpersPV</vt:lpstr>
      <vt:lpstr>Kontaktpersvux</vt:lpstr>
      <vt:lpstr>Kontakttel1RS</vt:lpstr>
      <vt:lpstr>Kontakttel2RS</vt:lpstr>
      <vt:lpstr>Kontakttelaldre</vt:lpstr>
      <vt:lpstr>KontakttelAO</vt:lpstr>
      <vt:lpstr>Kontakttelforskola</vt:lpstr>
      <vt:lpstr>Kontakttelgrund</vt:lpstr>
      <vt:lpstr>Kontakttelgymn</vt:lpstr>
      <vt:lpstr>Kontakttelhandik</vt:lpstr>
      <vt:lpstr>Kontakttelifo</vt:lpstr>
      <vt:lpstr>Kontakttelpv</vt:lpstr>
      <vt:lpstr>Kontakttelpvchef</vt:lpstr>
      <vt:lpstr>Kontakttelvux</vt:lpstr>
      <vt:lpstr>Kontakttevochef</vt:lpstr>
      <vt:lpstr>Köp_huvudvht</vt:lpstr>
      <vt:lpstr>LSS</vt:lpstr>
      <vt:lpstr>Pvchef</vt:lpstr>
      <vt:lpstr>Skatter_bidrag_finpost</vt:lpstr>
      <vt:lpstr>Spec_intäkter</vt:lpstr>
      <vt:lpstr>Spec_VoO</vt:lpstr>
      <vt:lpstr>Tillägg_1_Invest</vt:lpstr>
      <vt:lpstr>Tillägg_2_Invest</vt:lpstr>
      <vt:lpstr>Utbildning</vt:lpstr>
      <vt:lpstr>Drift!Utskriftsområde</vt:lpstr>
      <vt:lpstr>Information!Utskriftsområde</vt:lpstr>
      <vt:lpstr>Investeringar!Utskriftsområde</vt:lpstr>
      <vt:lpstr>Motpart!Utskriftsområde</vt:lpstr>
      <vt:lpstr>RR!Utskriftsområde</vt:lpstr>
      <vt:lpstr>'Äldre o personer funktionsn'!Utskriftsområde</vt:lpstr>
      <vt:lpstr>Drift!Utskriftsrubriker</vt:lpstr>
      <vt:lpstr>Motpart!Utskriftsrubriker</vt:lpstr>
      <vt:lpstr>Vht_int</vt:lpstr>
      <vt:lpstr>Vht_kostn</vt:lpstr>
      <vt:lpstr>VOchef</vt:lpstr>
      <vt:lpstr>Vuxna_missb.</vt:lpstr>
      <vt:lpstr>ÄF_inkl_IFO</vt:lpstr>
      <vt:lpstr>Äldre</vt:lpstr>
      <vt:lpstr>Övr._o_ek.bistånd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Wizell</dc:creator>
  <cp:lastModifiedBy>Glanzelius Marie ESA/BFN/OE-Ö</cp:lastModifiedBy>
  <cp:lastPrinted>2017-01-24T13:58:32Z</cp:lastPrinted>
  <dcterms:created xsi:type="dcterms:W3CDTF">2008-10-17T09:37:32Z</dcterms:created>
  <dcterms:modified xsi:type="dcterms:W3CDTF">2022-08-23T15:15:41Z</dcterms:modified>
</cp:coreProperties>
</file>